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jacob.harrison\Downloads\"/>
    </mc:Choice>
  </mc:AlternateContent>
  <xr:revisionPtr revIDLastSave="0" documentId="8_{C3889595-9AE2-4AC9-8CEA-CC77A09A6012}" xr6:coauthVersionLast="47" xr6:coauthVersionMax="47" xr10:uidLastSave="{00000000-0000-0000-0000-000000000000}"/>
  <bookViews>
    <workbookView xWindow="-120" yWindow="-120" windowWidth="29040" windowHeight="15720" tabRatio="787" activeTab="1" xr2:uid="{A1278264-BCF9-4104-8549-94FD2E053C31}"/>
  </bookViews>
  <sheets>
    <sheet name="Notes" sheetId="6" r:id="rId1"/>
    <sheet name="Base Rates" sheetId="3" r:id="rId2"/>
    <sheet name="Base Rate Form" sheetId="8" r:id="rId3"/>
    <sheet name="Residential Staffing Form" sheetId="2" r:id="rId4"/>
    <sheet name="Residential Behavioral Form" sheetId="7" r:id="rId5"/>
    <sheet name="Residential Medical Form" sheetId="5" r:id="rId6"/>
    <sheet name="Lookups" sheetId="1" state="hidden" r:id="rId7"/>
  </sheets>
  <definedNames>
    <definedName name="_xlcn.LinkedTable_dim_SIS_Clients1" hidden="1">#REF!</definedName>
    <definedName name="_xlcn.LinkedTable_dim_Srvc_Map1" hidden="1">#REF!</definedName>
    <definedName name="adfa">#REF!</definedName>
    <definedName name="alldata">#REF!</definedName>
    <definedName name="alled">#REF!</definedName>
    <definedName name="allstem">#REF!</definedName>
    <definedName name="Area">#REF!</definedName>
    <definedName name="BSCLicenses">#REF!</definedName>
    <definedName name="_xlnm.Database">#REF!</definedName>
    <definedName name="DETOXTOTAL">#REF!</definedName>
    <definedName name="DOLLARS">#REF!</definedName>
    <definedName name="DTA">#REF!</definedName>
    <definedName name="EmpStatus">#REF!</definedName>
    <definedName name="ExpAllocBase">#REF!</definedName>
    <definedName name="Final_Data_Output">#REF!</definedName>
    <definedName name="GH">#REF!</definedName>
    <definedName name="jus">#REF!</definedName>
    <definedName name="kji">#REF!</definedName>
    <definedName name="no">#REF!</definedName>
    <definedName name="NursePayMeth">#REF!</definedName>
    <definedName name="OTQuals">#REF!</definedName>
    <definedName name="PayMeth">#REF!</definedName>
    <definedName name="Percent">#REF!</definedName>
    <definedName name="PHFTOTAL">#REF!</definedName>
    <definedName name="_xlnm.Print_Area" localSheetId="0">Notes!$A$1:$B$56</definedName>
    <definedName name="_xlnm.Print_Area" localSheetId="4">'Residential Behavioral Form'!$A$1:$E$33</definedName>
    <definedName name="_xlnm.Print_Titles" localSheetId="4">'Residential Behavioral Form'!$B:$D,'Residential Behavioral Form'!$2:$2</definedName>
    <definedName name="PTQuals">#REF!</definedName>
    <definedName name="STQuals">#REF!</definedName>
    <definedName name="treeList" hidden="1">"11000000000000000000000000000000000000000000000000000000000000000000000000000000000000000000000000000000000000000000000000000000000000000000000000000000000000000000000000000000000000000000000000000000"</definedName>
    <definedName name="WaitingPeriod">#REF!</definedName>
    <definedName name="yes">#REF!</definedName>
    <definedName name="yesneo">#REF!</definedName>
    <definedName name="YesNo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1" l="1"/>
  <c r="F18" i="1"/>
  <c r="F17" i="1"/>
  <c r="F16" i="1"/>
  <c r="G16" i="1"/>
  <c r="G17" i="1"/>
  <c r="G18" i="1"/>
  <c r="G19" i="1"/>
  <c r="H19" i="1"/>
  <c r="H18" i="1"/>
  <c r="H17" i="1"/>
  <c r="H16" i="1"/>
  <c r="H9" i="1"/>
  <c r="H10" i="1"/>
  <c r="H11" i="1"/>
  <c r="H12" i="1"/>
  <c r="G12" i="1"/>
  <c r="G11" i="1"/>
  <c r="G10" i="1"/>
  <c r="G9" i="1"/>
  <c r="F12" i="1"/>
  <c r="F11" i="1"/>
  <c r="F10" i="1"/>
  <c r="F9" i="1"/>
  <c r="D12" i="8" l="1" a="1"/>
  <c r="D12" i="8" s="1"/>
  <c r="D11" i="8" a="1"/>
  <c r="D11" i="8" s="1"/>
  <c r="D12" i="7"/>
  <c r="D14" i="7" s="1"/>
  <c r="D18" i="7" s="1"/>
  <c r="D20" i="7" a="1"/>
  <c r="D20" i="7" s="1"/>
  <c r="D7" i="5" a="1"/>
  <c r="D7" i="5" s="1"/>
  <c r="D6" i="7" l="1"/>
  <c r="D22" i="7" l="1"/>
  <c r="D11" i="5"/>
  <c r="D7" i="2" a="1"/>
  <c r="D7" i="2" s="1"/>
  <c r="D14" i="5" l="1"/>
  <c r="B4" i="1"/>
  <c r="B3" i="1"/>
  <c r="C3" i="1" s="1"/>
  <c r="B2" i="1"/>
  <c r="C4" i="1"/>
  <c r="C2" i="1" l="1"/>
  <c r="D12" i="2" a="1"/>
  <c r="D12" i="2" s="1"/>
  <c r="D1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Andy Slate</author>
  </authors>
  <commentList>
    <comment ref="A24" authorId="0" shapeId="0" xr:uid="{8FD402F7-CECF-4A81-9205-83FD71612504}">
      <text>
        <r>
          <rPr>
            <sz val="8"/>
            <color indexed="81"/>
            <rFont val="Tahoma"/>
            <family val="2"/>
          </rPr>
          <t xml:space="preserve">SPECIALIZED BEHAVIOR PROVIDER- Service Description and Criteria 
Providers that are certified through the AL Department of Mental Health-DD Division to deliver Medicaid waiver program services to population of individuals with specialized behavioral needs that place them at risk for psychiatric or behavioral crisis, displacement, hospitalization, homelessness, or incarceration. Services offered in this setting are provided by staff with specialized competencies related to crisis response, dual diagnosis issues, and behavioral programming.
1. INDIVIDUAL TO BE SERVED HAS SPECIALIZED BEHAVIOR NEEDS- 
To qualify for a special behavioral service rate, individuals must a) have an initial screening by a Regional Psych and Behavioral Evaluator to assess for high-risk behaviors, mental health conditions; and b) present a clear and present danger to self and/or others if not for structured and consistent services. 
Specialized rates will be approved in 90- day increments on information provided and reviewed as part of the individual’s Person-Centered Plan (PCP). The support coordination quarterly narrative from the PCP will be submitted every 90 days along with any behavior supports related documents including the BSP, Psychotropic Med Plan, etc. that discuss the use of specialized staffing for behavioral issues, restraints, and/or restrictions. 
2. PROVIDER MUST UTILIZE BOARD CERTIFIED BEHAVIOR ANALYST (BCBA) Services. 
The agency must employ or have access to consult with a BCBA to complete and document all:
a) Functional assessments for individuals identified to need a specialized BSP to include the use of staffing restrictions, restraints, and/or supports to address challenging behaviors. A QDDP can write the plan based on the assessment. However, the BCBA should review and approve prior to review by the Behavior Program Review Committee (BPRC) and the Human Rights Committee (HRC). 
b) BCBA-Medication Plans. Individuals who take Psychotropic Medication, a formal Psychotropic   Medication Plan is required. A QDDP can develop the plan which, can be part of the BSP or a stand- alone document. However, the BCBA should review and approve prior to review by the BPRC and the HRC.
3. PROVIDER MUST ADHERE TO REQUIREMENTS FOR STAFF COMPETENCY AND TRAINING-
The BCBA, QDDP, and DSPs must complete a set of courses established by ADMH which will be the core curriculum of behavioral services training. Included in the core curriculum will be the AL Behavioral Services Procedural Guidelines.
RELIAS Curriculum for Specialized Behavior Services 
a) Crisis Intervention for Individuals with Developmental Disabilities
b) Supporting People with IDD and Mental Health Conditions
c) Introduction to Trauma Informed Care
d) Providing Support for Challenging Behavior
The course curriculum can be found here: https://admh.academy.reliaslearning.com/ADMH-DDD-Specialized-Behavioral-Services-Provider-Training-Plan.aspx ADMH-DDD will reimburse provider agencies for the completed course bundles. Providers should submit invoice to Regional Office Fiscal Manager along with certificates for each staff participating. 
Direct Support Staff. All direct support staff who work with an individual who has a specialized BSP and/or Psychotropic Medication Plan must be provided specific training on that person's plan, by the BCBA, before they can work with the individual. This training is in addition to the SPECIALIZED BEHAVIOR curriculum and the initial and annual certification requirements for management of challenging behaviors (i.e. CPI). Regular/consistent supervision and training from BCBA and/or QDDP (at least quarterly) must be documented and maintained on all support staff.  
Specialized Behavior Provider Reimbursement rates are intended to allow for staff (specifically, Direct Support Professionals) to receive a higher rate for the provision of more specialized and intensive services. 
Additionally, Positive Behavior Supports for Level 1-3 Providers may still be billed per the waiver description of billable services and associated requirements.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<sst xmlns="http://schemas.openxmlformats.org/spreadsheetml/2006/main" count="176" uniqueCount="79">
  <si>
    <t>Special Level Staffing, Residential Behavioral and Residential Medical Forms</t>
  </si>
  <si>
    <t>Base Rates Tab</t>
  </si>
  <si>
    <t>This tab references the new fixed ID waiver residential rates completed by a third party contractor of the Alabama Department of Mental Health and effective 10/1/23.</t>
  </si>
  <si>
    <t>These amounts will be entered into ADIDIS in the month of October pending the approval of Medicaid.</t>
  </si>
  <si>
    <t>Special Level Staffing Tab</t>
  </si>
  <si>
    <t>This form is to be completed by providers when requesting specialized staffing for individuals due to the individual's needs. This is not to be used to set a rate for a 1:1 by default as that option no longer exists.</t>
  </si>
  <si>
    <t>The completed form will be assessed and approved/denied by ADMH regional psychological and behavioral evaluators.</t>
  </si>
  <si>
    <t>Click on cell D4 and make choice using drop down arrow</t>
  </si>
  <si>
    <t>Click on cell D5 and make choice using drop down arrow</t>
  </si>
  <si>
    <t>Lastly input the number of additional 1:1 and 2:1 hours being requested for the individual.</t>
  </si>
  <si>
    <t>This will calculate the new rate.</t>
  </si>
  <si>
    <t>Residential Behavioral Tab</t>
  </si>
  <si>
    <t>This form is to be completed by providers who are certified through the Alabama Department of Mental Health-DD Division to deliver specialized behavior services.</t>
  </si>
  <si>
    <t>Description and criteria below remain the same but will now require a completion of the form on the fourth tab below instead of an IRBI.</t>
  </si>
  <si>
    <t>As stated below this specialized rate is approved in 90-day increments.</t>
  </si>
  <si>
    <t>Residential Medical Tab</t>
  </si>
  <si>
    <t>This form is to be completed by providers delivering services in a specialized medical home; provider must provide proof of certification and training and qualifications of staff delivering services.</t>
  </si>
  <si>
    <t>The completed form will be assessed and approved/denied by Community Services RN staff.</t>
  </si>
  <si>
    <t>Service requirements are detailed in the 1915c waiver document.</t>
  </si>
  <si>
    <t>Lastly input the number of LPN hours needed for the individual.</t>
  </si>
  <si>
    <t>Standard Group Home</t>
  </si>
  <si>
    <t>Unit</t>
  </si>
  <si>
    <t>Base Rate</t>
  </si>
  <si>
    <t>Low
ICAP (61-99)</t>
  </si>
  <si>
    <t>3 or fewer bed homes</t>
  </si>
  <si>
    <t>day</t>
  </si>
  <si>
    <t>Rates are based on a 344-day billing year
Absentee rates will be set at 5.75% in authorizations.</t>
  </si>
  <si>
    <t>4 bed homes</t>
  </si>
  <si>
    <t>5 bed homes</t>
  </si>
  <si>
    <t>6 or more bed homes</t>
  </si>
  <si>
    <t>Mid
ICAP (36-60)</t>
  </si>
  <si>
    <t>High
(ICAP 1-35)</t>
  </si>
  <si>
    <t>Number of Certified Beds</t>
  </si>
  <si>
    <t>Select Home Size</t>
  </si>
  <si>
    <t>Participant's ICAP Level(Score)</t>
  </si>
  <si>
    <t>High</t>
  </si>
  <si>
    <t>Select Low(61-99), Mid(36-60), or High(1-35)</t>
  </si>
  <si>
    <t>Daily Base Rate</t>
  </si>
  <si>
    <t>Daily Hours of 1 to 1 Support</t>
  </si>
  <si>
    <t>The sum of these cells should not exceed 24 hours</t>
  </si>
  <si>
    <t>Daily Hours of 2 to 1 Support</t>
  </si>
  <si>
    <t>Daily Cost of Add'l Support</t>
  </si>
  <si>
    <t>Daily Specialized Rate (344 days)</t>
  </si>
  <si>
    <t>Provider Name:</t>
  </si>
  <si>
    <t>Individual's Name and Case Number:</t>
  </si>
  <si>
    <t>Individual's Residential Address:</t>
  </si>
  <si>
    <t>Completed by:</t>
  </si>
  <si>
    <t>Approved by:</t>
  </si>
  <si>
    <t>Residential Behavioral Home</t>
  </si>
  <si>
    <t>- Direct Care Staff Hourly Wage</t>
  </si>
  <si>
    <t>- Employee Benefit Rate (as a percent of wages)</t>
  </si>
  <si>
    <t>Hourly Staff Cost (wages + benefits)</t>
  </si>
  <si>
    <t>Total Direct Care Staff Hours per Day</t>
  </si>
  <si>
    <t xml:space="preserve">Daily Direct Care Staff Cost </t>
  </si>
  <si>
    <t>Admin. Cost per Week (equal to High model)</t>
  </si>
  <si>
    <t>Total Cost per Day</t>
  </si>
  <si>
    <t>Rate per Day (at 344 Days)</t>
  </si>
  <si>
    <t>Completed by</t>
  </si>
  <si>
    <t>Residential Medical Home</t>
  </si>
  <si>
    <t>Daily Hours of  LPN Support</t>
  </si>
  <si>
    <t>Cost per hour of 1:1</t>
  </si>
  <si>
    <t>Mid</t>
  </si>
  <si>
    <t>Low</t>
  </si>
  <si>
    <t>Residential Staffing Hours</t>
  </si>
  <si>
    <t>- 1:1 Direct Care Staff Hours per Day per Individual</t>
  </si>
  <si>
    <t>- Non-1:1 Shared hours</t>
  </si>
  <si>
    <t>The sum of these two cells should not exceed 24 hours unless the individual is approved for 2:1 staffing</t>
  </si>
  <si>
    <t>Beds</t>
  </si>
  <si>
    <t>Please select the setting size, then enter the approved number of 1:1 hours.  Below that you'll enter the number of hours at normal staffing level.</t>
  </si>
  <si>
    <t>Individual's Name, Case # and ICAP:</t>
  </si>
  <si>
    <t>Narrative of Staffing</t>
  </si>
  <si>
    <t>Daily Rate Base</t>
  </si>
  <si>
    <t>Daily Rate Remote Supports</t>
  </si>
  <si>
    <t>No</t>
  </si>
  <si>
    <t>Yes</t>
  </si>
  <si>
    <t>Remote Supports?</t>
  </si>
  <si>
    <t>Group Home w/ Remote Supports</t>
  </si>
  <si>
    <t>w/ Remote Supports</t>
  </si>
  <si>
    <t>Effective Date: 10/01/2025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</si>
</sst>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0\ &quot;hour&quot;"/>
    <numFmt numFmtId="165" formatCode="&quot;$&quot;#,##0.00"/>
    <numFmt numFmtId="166" formatCode="#,##0.0_);\(#,##0.0\)"/>
  </numFmts>
  <fonts count="19" x14ac:knownFonts="1">
    <font>
      <sz val="11"/>
      <color theme="1"/>
      <name val="Calibri"/>
      <family val="2"/>
      <scheme val="minor"/>
    </font>
    <font>
      <sz val="11"/>
      <color theme="1"/>
      <name val="Calibri"/>
      <family val="2"/>
      <scheme val="minor"/>
    </font>
    <font>
      <sz val="10"/>
      <name val="Arial"/>
      <family val="2"/>
    </font>
    <font>
      <sz val="8"/>
      <color indexed="81"/>
      <name val="Tahoma"/>
      <family val="2"/>
    </font>
    <font>
      <sz val="10"/>
      <name val="MS Sans Serif"/>
      <family val="2"/>
    </font>
    <font>
      <sz val="10"/>
      <color theme="1"/>
      <name val="Times New Roman"/>
      <family val="2"/>
    </font>
    <font>
      <sz val="10"/>
      <name val="Arial"/>
      <family val="2"/>
    </font>
    <font>
      <b/>
      <sz val="12"/>
      <color theme="1"/>
      <name val="Aptos"/>
      <family val="2"/>
    </font>
    <font>
      <sz val="11"/>
      <color theme="1"/>
      <name val="Aptos"/>
      <family val="2"/>
    </font>
    <font>
      <sz val="11"/>
      <name val="Aptos"/>
      <family val="2"/>
    </font>
    <font>
      <b/>
      <sz val="12"/>
      <name val="Aptos"/>
      <family val="2"/>
    </font>
    <font>
      <b/>
      <sz val="11"/>
      <name val="Aptos"/>
      <family val="2"/>
    </font>
    <font>
      <sz val="9"/>
      <color theme="1"/>
      <name val="Aptos"/>
      <family val="2"/>
    </font>
    <font>
      <sz val="9"/>
      <name val="Aptos"/>
      <family val="2"/>
    </font>
    <font>
      <b/>
      <sz val="9"/>
      <name val="Aptos"/>
      <family val="2"/>
    </font>
    <font>
      <sz val="10"/>
      <color theme="1"/>
      <name val="Aptos"/>
      <family val="2"/>
    </font>
    <font>
      <b/>
      <sz val="14"/>
      <color theme="1"/>
      <name val="Aptos"/>
      <family val="2"/>
    </font>
    <font>
      <b/>
      <sz val="11.75"/>
      <color theme="1"/>
      <name val="Aptos"/>
      <family val="2"/>
    </font>
    <font>
      <sz val="11"/>
      <name val="Aptos"/>
      <family val="4"/>
    </font>
  </fonts>
  <fills count="4">
    <fill>
      <patternFill patternType="none"/>
    </fill>
    <fill>
      <patternFill patternType="gray125"/>
    </fill>
    <fill>
      <patternFill patternType="solid">
        <fgColor rgb="FFFFFF99"/>
        <bgColor indexed="64"/>
      </patternFill>
    </fill>
    <fill>
      <patternFill patternType="solid">
        <fgColor theme="9" tint="0.59999389629810485"/>
        <bgColor indexed="64"/>
      </patternFill>
    </fill>
  </fills>
  <borders count="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s>
  <cellStyleXfs count="11">
    <xf numFmtId="0" fontId="0" fillId="0" borderId="0"/>
    <xf numFmtId="44" fontId="1"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4" fillId="0" borderId="0"/>
    <xf numFmtId="44" fontId="5" fillId="0" borderId="0" applyFont="0" applyFill="0" applyBorder="0" applyAlignment="0" applyProtection="0"/>
    <xf numFmtId="9" fontId="5" fillId="0" borderId="0" applyFont="0" applyFill="0" applyBorder="0" applyAlignment="0" applyProtection="0"/>
    <xf numFmtId="0" fontId="4" fillId="0" borderId="0"/>
    <xf numFmtId="44" fontId="6" fillId="0" borderId="0" applyFont="0" applyFill="0" applyBorder="0" applyAlignment="0" applyProtection="0"/>
    <xf numFmtId="0" fontId="1" fillId="0" borderId="0"/>
  </cellStyleXfs>
  <cellXfs count="105">
    <xf numFmtId="0" fontId="0" fillId="0" borderId="0" xfId="0"/>
    <xf numFmtId="0" fontId="7" fillId="0" borderId="0" xfId="0" applyFont="1"/>
    <xf numFmtId="0" fontId="8" fillId="0" borderId="0" xfId="0" applyFont="1"/>
    <xf numFmtId="0" fontId="8" fillId="2" borderId="0" xfId="0" applyFont="1" applyFill="1" applyAlignment="1" applyProtection="1">
      <alignment horizontal="center"/>
      <protection locked="0"/>
    </xf>
    <xf numFmtId="0" fontId="8" fillId="2" borderId="7" xfId="0" applyFont="1" applyFill="1" applyBorder="1" applyAlignment="1" applyProtection="1">
      <alignment horizontal="center"/>
      <protection locked="0"/>
    </xf>
    <xf numFmtId="165" fontId="9" fillId="0" borderId="0" xfId="6" applyNumberFormat="1" applyFont="1" applyFill="1" applyBorder="1" applyAlignment="1" applyProtection="1">
      <alignment vertical="center" wrapText="1"/>
      <protection hidden="1"/>
    </xf>
    <xf numFmtId="10" fontId="9" fillId="0" borderId="0" xfId="7" applyNumberFormat="1" applyFont="1" applyFill="1" applyBorder="1" applyAlignment="1" applyProtection="1">
      <alignment vertical="center" wrapText="1"/>
      <protection hidden="1"/>
    </xf>
    <xf numFmtId="0" fontId="8" fillId="2" borderId="0" xfId="0" applyFont="1" applyFill="1" applyBorder="1" applyAlignment="1" applyProtection="1">
      <alignment horizontal="center"/>
      <protection locked="0"/>
    </xf>
    <xf numFmtId="0" fontId="8" fillId="0" borderId="7" xfId="0" applyFont="1" applyBorder="1"/>
    <xf numFmtId="0" fontId="7" fillId="0" borderId="0" xfId="0" applyFont="1" applyBorder="1"/>
    <xf numFmtId="0" fontId="8" fillId="0" borderId="0" xfId="0" applyFont="1" applyBorder="1"/>
    <xf numFmtId="0" fontId="8" fillId="0" borderId="4" xfId="0" applyFont="1" applyBorder="1" applyProtection="1">
      <protection hidden="1"/>
    </xf>
    <xf numFmtId="0" fontId="8" fillId="0" borderId="0" xfId="0" applyFont="1" applyProtection="1">
      <protection hidden="1"/>
    </xf>
    <xf numFmtId="0" fontId="8" fillId="0" borderId="5" xfId="0" applyFont="1" applyBorder="1" applyProtection="1">
      <protection hidden="1"/>
    </xf>
    <xf numFmtId="0" fontId="8" fillId="0" borderId="0" xfId="0" applyFont="1" applyBorder="1" applyProtection="1">
      <protection hidden="1"/>
    </xf>
    <xf numFmtId="0" fontId="8" fillId="0" borderId="6" xfId="0" applyFont="1" applyBorder="1" applyProtection="1">
      <protection hidden="1"/>
    </xf>
    <xf numFmtId="0" fontId="8" fillId="0" borderId="7" xfId="0" applyFont="1" applyBorder="1" applyProtection="1">
      <protection hidden="1"/>
    </xf>
    <xf numFmtId="0" fontId="8" fillId="0" borderId="8" xfId="0" applyFont="1" applyBorder="1" applyProtection="1">
      <protection hidden="1"/>
    </xf>
    <xf numFmtId="0" fontId="8" fillId="0" borderId="1" xfId="0" applyFont="1" applyBorder="1" applyProtection="1">
      <protection hidden="1"/>
    </xf>
    <xf numFmtId="0" fontId="8" fillId="0" borderId="2" xfId="0" applyFont="1" applyBorder="1" applyProtection="1">
      <protection hidden="1"/>
    </xf>
    <xf numFmtId="0" fontId="8" fillId="0" borderId="3" xfId="0" applyFont="1" applyBorder="1" applyProtection="1">
      <protection hidden="1"/>
    </xf>
    <xf numFmtId="0" fontId="8" fillId="0" borderId="5" xfId="0" applyFont="1" applyBorder="1" applyAlignment="1" applyProtection="1">
      <alignment vertical="center"/>
      <protection hidden="1"/>
    </xf>
    <xf numFmtId="44" fontId="8" fillId="0" borderId="0" xfId="1" applyFont="1" applyBorder="1" applyProtection="1">
      <protection hidden="1"/>
    </xf>
    <xf numFmtId="44" fontId="8" fillId="3" borderId="0" xfId="1" applyFont="1" applyFill="1" applyBorder="1" applyProtection="1">
      <protection hidden="1"/>
    </xf>
    <xf numFmtId="0" fontId="8" fillId="0" borderId="0" xfId="0" applyFont="1" applyAlignment="1">
      <alignment horizontal="right"/>
    </xf>
    <xf numFmtId="0" fontId="8" fillId="0" borderId="9" xfId="0" applyFont="1" applyBorder="1" applyProtection="1">
      <protection locked="0"/>
    </xf>
    <xf numFmtId="0" fontId="8" fillId="0" borderId="20" xfId="0" applyFont="1" applyBorder="1" applyProtection="1">
      <protection locked="0"/>
    </xf>
    <xf numFmtId="0" fontId="8" fillId="0" borderId="0" xfId="0" applyFont="1" applyProtection="1">
      <protection locked="0"/>
    </xf>
    <xf numFmtId="0" fontId="8" fillId="0" borderId="13" xfId="0" applyFont="1" applyBorder="1" applyProtection="1">
      <protection locked="0"/>
    </xf>
    <xf numFmtId="44" fontId="8" fillId="3" borderId="0" xfId="0" applyNumberFormat="1" applyFont="1" applyFill="1" applyProtection="1">
      <protection hidden="1"/>
    </xf>
    <xf numFmtId="2" fontId="8" fillId="0" borderId="0" xfId="0" applyNumberFormat="1" applyFont="1" applyProtection="1">
      <protection hidden="1"/>
    </xf>
    <xf numFmtId="0" fontId="8" fillId="0" borderId="0" xfId="0" applyFont="1" applyAlignment="1" applyProtection="1">
      <alignment horizontal="center"/>
      <protection hidden="1"/>
    </xf>
    <xf numFmtId="0" fontId="9" fillId="0" borderId="0" xfId="5" applyFont="1" applyAlignment="1">
      <alignment vertical="center" wrapText="1"/>
    </xf>
    <xf numFmtId="0" fontId="9" fillId="0" borderId="19" xfId="5" applyFont="1" applyBorder="1" applyAlignment="1" applyProtection="1">
      <alignment horizontal="center" vertical="center" wrapText="1"/>
      <protection hidden="1"/>
    </xf>
    <xf numFmtId="0" fontId="9" fillId="0" borderId="0" xfId="5" applyFont="1" applyAlignment="1">
      <alignment horizontal="center" vertical="center" wrapText="1"/>
    </xf>
    <xf numFmtId="0" fontId="11" fillId="0" borderId="1" xfId="5" applyFont="1" applyBorder="1" applyAlignment="1" applyProtection="1">
      <alignment vertical="center" wrapText="1"/>
      <protection hidden="1"/>
    </xf>
    <xf numFmtId="0" fontId="9" fillId="0" borderId="2" xfId="5" applyFont="1" applyBorder="1" applyAlignment="1" applyProtection="1">
      <alignment vertical="center"/>
      <protection hidden="1"/>
    </xf>
    <xf numFmtId="164" fontId="9" fillId="0" borderId="2" xfId="5" applyNumberFormat="1" applyFont="1" applyBorder="1" applyAlignment="1" applyProtection="1">
      <alignment horizontal="center" vertical="center" wrapText="1"/>
      <protection hidden="1"/>
    </xf>
    <xf numFmtId="0" fontId="11" fillId="0" borderId="3" xfId="5" applyFont="1" applyBorder="1" applyAlignment="1" applyProtection="1">
      <alignment vertical="center" wrapText="1"/>
      <protection hidden="1"/>
    </xf>
    <xf numFmtId="0" fontId="11" fillId="0" borderId="0" xfId="5" applyFont="1" applyAlignment="1">
      <alignment vertical="center" wrapText="1"/>
    </xf>
    <xf numFmtId="0" fontId="11" fillId="0" borderId="4" xfId="5" applyFont="1" applyBorder="1" applyAlignment="1" applyProtection="1">
      <alignment vertical="center" wrapText="1"/>
      <protection hidden="1"/>
    </xf>
    <xf numFmtId="165" fontId="9" fillId="0" borderId="0" xfId="5" quotePrefix="1" applyNumberFormat="1" applyFont="1" applyBorder="1" applyAlignment="1" applyProtection="1">
      <alignment horizontal="left" vertical="center" indent="1"/>
      <protection hidden="1"/>
    </xf>
    <xf numFmtId="0" fontId="11" fillId="0" borderId="5" xfId="5" applyFont="1" applyBorder="1" applyAlignment="1" applyProtection="1">
      <alignment vertical="center" wrapText="1"/>
      <protection hidden="1"/>
    </xf>
    <xf numFmtId="0" fontId="9" fillId="0" borderId="0" xfId="5" quotePrefix="1" applyFont="1" applyBorder="1" applyAlignment="1" applyProtection="1">
      <alignment horizontal="left" vertical="center" indent="1"/>
      <protection hidden="1"/>
    </xf>
    <xf numFmtId="0" fontId="9" fillId="0" borderId="0" xfId="5" applyFont="1" applyBorder="1" applyAlignment="1" applyProtection="1">
      <alignment horizontal="left" vertical="center"/>
      <protection hidden="1"/>
    </xf>
    <xf numFmtId="0" fontId="12" fillId="0" borderId="5" xfId="0" applyFont="1" applyBorder="1" applyProtection="1">
      <protection hidden="1"/>
    </xf>
    <xf numFmtId="0" fontId="9" fillId="0" borderId="0" xfId="8" quotePrefix="1" applyFont="1" applyBorder="1" applyAlignment="1" applyProtection="1">
      <alignment horizontal="left" vertical="center" indent="1"/>
      <protection hidden="1"/>
    </xf>
    <xf numFmtId="166" fontId="9" fillId="2" borderId="0" xfId="8" applyNumberFormat="1" applyFont="1" applyFill="1" applyBorder="1" applyAlignment="1" applyProtection="1">
      <alignment vertical="center" wrapText="1"/>
      <protection locked="0"/>
    </xf>
    <xf numFmtId="166" fontId="9" fillId="0" borderId="0" xfId="8" applyNumberFormat="1" applyFont="1" applyFill="1" applyBorder="1" applyAlignment="1" applyProtection="1">
      <alignment vertical="center" wrapText="1"/>
      <protection hidden="1"/>
    </xf>
    <xf numFmtId="0" fontId="9" fillId="0" borderId="0" xfId="8" applyFont="1" applyBorder="1" applyAlignment="1" applyProtection="1">
      <alignment vertical="center"/>
      <protection hidden="1"/>
    </xf>
    <xf numFmtId="166" fontId="9" fillId="0" borderId="0" xfId="8" applyNumberFormat="1" applyFont="1" applyBorder="1" applyAlignment="1" applyProtection="1">
      <alignment vertical="center" wrapText="1"/>
      <protection hidden="1"/>
    </xf>
    <xf numFmtId="0" fontId="11" fillId="0" borderId="0" xfId="8" applyFont="1" applyBorder="1" applyAlignment="1" applyProtection="1">
      <alignment horizontal="left" vertical="center"/>
      <protection hidden="1"/>
    </xf>
    <xf numFmtId="165" fontId="11" fillId="0" borderId="0" xfId="9" applyNumberFormat="1" applyFont="1" applyFill="1" applyBorder="1" applyAlignment="1" applyProtection="1">
      <alignment vertical="center" wrapText="1"/>
      <protection hidden="1"/>
    </xf>
    <xf numFmtId="0" fontId="11" fillId="0" borderId="0" xfId="5" applyFont="1" applyBorder="1" applyAlignment="1" applyProtection="1">
      <alignment horizontal="left" vertical="center"/>
      <protection hidden="1"/>
    </xf>
    <xf numFmtId="165" fontId="11" fillId="0" borderId="0" xfId="6" applyNumberFormat="1" applyFont="1" applyFill="1" applyBorder="1" applyAlignment="1" applyProtection="1">
      <alignment vertical="center" wrapText="1"/>
      <protection hidden="1"/>
    </xf>
    <xf numFmtId="0" fontId="9" fillId="0" borderId="4" xfId="5" applyFont="1" applyBorder="1" applyAlignment="1" applyProtection="1">
      <alignment vertical="center" wrapText="1"/>
      <protection hidden="1"/>
    </xf>
    <xf numFmtId="0" fontId="9" fillId="0" borderId="5" xfId="5" applyFont="1" applyBorder="1" applyAlignment="1" applyProtection="1">
      <alignment vertical="center" wrapText="1"/>
      <protection hidden="1"/>
    </xf>
    <xf numFmtId="0" fontId="9" fillId="0" borderId="6" xfId="5" applyFont="1" applyBorder="1" applyAlignment="1" applyProtection="1">
      <alignment vertical="center" wrapText="1"/>
      <protection hidden="1"/>
    </xf>
    <xf numFmtId="0" fontId="11" fillId="0" borderId="7" xfId="5" applyFont="1" applyBorder="1" applyAlignment="1" applyProtection="1">
      <alignment horizontal="left" vertical="center"/>
      <protection hidden="1"/>
    </xf>
    <xf numFmtId="165" fontId="11" fillId="0" borderId="7" xfId="9" applyNumberFormat="1" applyFont="1" applyFill="1" applyBorder="1" applyAlignment="1" applyProtection="1">
      <alignment vertical="center" wrapText="1"/>
      <protection hidden="1"/>
    </xf>
    <xf numFmtId="0" fontId="9" fillId="0" borderId="8" xfId="5" applyFont="1" applyBorder="1" applyAlignment="1" applyProtection="1">
      <alignment vertical="center" wrapText="1"/>
      <protection hidden="1"/>
    </xf>
    <xf numFmtId="0" fontId="9" fillId="0" borderId="1" xfId="5" applyFont="1" applyBorder="1" applyAlignment="1" applyProtection="1">
      <alignment vertical="center" wrapText="1"/>
      <protection hidden="1"/>
    </xf>
    <xf numFmtId="165" fontId="9" fillId="0" borderId="2" xfId="9" applyNumberFormat="1" applyFont="1" applyFill="1" applyBorder="1" applyAlignment="1" applyProtection="1">
      <alignment vertical="center" wrapText="1"/>
      <protection hidden="1"/>
    </xf>
    <xf numFmtId="0" fontId="9" fillId="0" borderId="3" xfId="5" applyFont="1" applyBorder="1" applyAlignment="1" applyProtection="1">
      <alignment vertical="center" wrapText="1"/>
      <protection hidden="1"/>
    </xf>
    <xf numFmtId="0" fontId="11" fillId="0" borderId="0" xfId="5" applyFont="1" applyBorder="1" applyAlignment="1" applyProtection="1">
      <alignment vertical="center"/>
      <protection hidden="1"/>
    </xf>
    <xf numFmtId="0" fontId="9" fillId="0" borderId="0" xfId="5" applyFont="1" applyBorder="1" applyAlignment="1" applyProtection="1">
      <alignment vertical="center" wrapText="1"/>
      <protection hidden="1"/>
    </xf>
    <xf numFmtId="165" fontId="11" fillId="3" borderId="0" xfId="9" applyNumberFormat="1" applyFont="1" applyFill="1" applyBorder="1" applyAlignment="1" applyProtection="1">
      <alignment vertical="center" wrapText="1"/>
      <protection hidden="1"/>
    </xf>
    <xf numFmtId="0" fontId="11" fillId="0" borderId="7" xfId="5" applyFont="1" applyBorder="1" applyAlignment="1" applyProtection="1">
      <alignment vertical="center"/>
      <protection hidden="1"/>
    </xf>
    <xf numFmtId="0" fontId="9" fillId="0" borderId="13" xfId="5" applyFont="1" applyBorder="1" applyAlignment="1" applyProtection="1">
      <alignment vertical="center" wrapText="1"/>
      <protection locked="0"/>
    </xf>
    <xf numFmtId="0" fontId="8" fillId="0" borderId="11" xfId="0" applyFont="1" applyBorder="1" applyProtection="1">
      <protection locked="0"/>
    </xf>
    <xf numFmtId="0" fontId="9" fillId="0" borderId="11" xfId="5" applyFont="1" applyBorder="1" applyAlignment="1" applyProtection="1">
      <alignment vertical="center" wrapText="1"/>
      <protection locked="0"/>
    </xf>
    <xf numFmtId="0" fontId="8" fillId="0" borderId="0" xfId="0" applyFont="1" applyBorder="1" applyProtection="1">
      <protection locked="0"/>
    </xf>
    <xf numFmtId="0" fontId="9" fillId="0" borderId="0" xfId="5" applyFont="1" applyBorder="1" applyAlignment="1" applyProtection="1">
      <alignment vertical="center" wrapText="1"/>
      <protection locked="0"/>
    </xf>
    <xf numFmtId="0" fontId="11" fillId="0" borderId="0" xfId="5" applyFont="1" applyAlignment="1">
      <alignment vertical="center"/>
    </xf>
    <xf numFmtId="0" fontId="15" fillId="0" borderId="5" xfId="0" applyFont="1" applyBorder="1" applyProtection="1">
      <protection hidden="1"/>
    </xf>
    <xf numFmtId="0" fontId="8" fillId="0" borderId="0" xfId="0" applyFont="1" applyProtection="1"/>
    <xf numFmtId="0" fontId="8" fillId="0" borderId="0" xfId="0" applyFont="1" applyAlignment="1" applyProtection="1">
      <alignment horizontal="right"/>
    </xf>
    <xf numFmtId="8" fontId="8" fillId="0" borderId="0" xfId="0" applyNumberFormat="1" applyFont="1" applyProtection="1">
      <protection hidden="1"/>
    </xf>
    <xf numFmtId="0" fontId="8" fillId="0" borderId="2" xfId="0" applyFont="1" applyBorder="1"/>
    <xf numFmtId="44" fontId="8" fillId="0" borderId="3" xfId="1" applyFont="1" applyBorder="1"/>
    <xf numFmtId="44" fontId="8" fillId="0" borderId="5" xfId="1" applyFont="1" applyBorder="1"/>
    <xf numFmtId="44" fontId="8" fillId="0" borderId="8" xfId="1" applyFont="1" applyBorder="1"/>
    <xf numFmtId="0" fontId="16" fillId="0" borderId="21" xfId="0" applyFont="1" applyBorder="1" applyAlignment="1">
      <alignment horizontal="center"/>
    </xf>
    <xf numFmtId="0" fontId="16" fillId="0" borderId="0" xfId="0" applyFont="1" applyBorder="1" applyAlignment="1"/>
    <xf numFmtId="0" fontId="17" fillId="0" borderId="0" xfId="0" applyFont="1"/>
    <xf numFmtId="0" fontId="15" fillId="0" borderId="0" xfId="0" applyFont="1"/>
    <xf numFmtId="0" fontId="18" fillId="0" borderId="9" xfId="0" applyFont="1" applyBorder="1" applyProtection="1">
      <protection locked="0"/>
    </xf>
    <xf numFmtId="0" fontId="8" fillId="0" borderId="9" xfId="10" applyFont="1" applyBorder="1" applyAlignment="1" applyProtection="1">
      <alignment horizontal="center"/>
      <protection locked="0"/>
    </xf>
    <xf numFmtId="0" fontId="8" fillId="0" borderId="9" xfId="10" applyFont="1" applyBorder="1" applyProtection="1">
      <protection locked="0"/>
    </xf>
    <xf numFmtId="0" fontId="8" fillId="0" borderId="0" xfId="10" applyFont="1"/>
    <xf numFmtId="0" fontId="8" fillId="0" borderId="1" xfId="0" applyFont="1" applyBorder="1" applyAlignment="1">
      <alignment horizontal="center" vertical="center" wrapText="1"/>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8" fillId="0" borderId="14" xfId="0" applyFont="1" applyBorder="1" applyAlignment="1">
      <alignment horizontal="center" vertical="center" wrapText="1"/>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7" fillId="0" borderId="10" xfId="0" applyFont="1" applyBorder="1" applyAlignment="1" applyProtection="1">
      <alignment horizontal="center"/>
      <protection hidden="1"/>
    </xf>
    <xf numFmtId="0" fontId="7" fillId="0" borderId="11" xfId="0" applyFont="1" applyBorder="1" applyAlignment="1" applyProtection="1">
      <alignment horizontal="center"/>
      <protection hidden="1"/>
    </xf>
    <xf numFmtId="0" fontId="7" fillId="0" borderId="12" xfId="0" applyFont="1" applyBorder="1" applyAlignment="1" applyProtection="1">
      <alignment horizontal="center"/>
      <protection hidden="1"/>
    </xf>
    <xf numFmtId="0" fontId="8" fillId="0" borderId="5" xfId="0" applyFont="1" applyBorder="1" applyAlignment="1" applyProtection="1">
      <alignment vertical="center"/>
      <protection hidden="1"/>
    </xf>
    <xf numFmtId="0" fontId="10" fillId="0" borderId="17" xfId="5" applyFont="1" applyBorder="1" applyAlignment="1" applyProtection="1">
      <alignment horizontal="center" vertical="top" wrapText="1"/>
      <protection hidden="1"/>
    </xf>
    <xf numFmtId="0" fontId="10" fillId="0" borderId="18" xfId="5" applyFont="1" applyBorder="1" applyAlignment="1" applyProtection="1">
      <alignment horizontal="center" vertical="top" wrapText="1"/>
      <protection hidden="1"/>
    </xf>
    <xf numFmtId="0" fontId="10" fillId="0" borderId="0" xfId="5" applyFont="1" applyAlignment="1">
      <alignment horizontal="center" vertical="top" wrapText="1"/>
    </xf>
    <xf numFmtId="0" fontId="13" fillId="0" borderId="5" xfId="5" applyFont="1" applyBorder="1" applyAlignment="1" applyProtection="1">
      <alignment horizontal="center" vertical="center" wrapText="1"/>
      <protection hidden="1"/>
    </xf>
    <xf numFmtId="0" fontId="14" fillId="0" borderId="5" xfId="5" applyFont="1" applyBorder="1" applyAlignment="1" applyProtection="1">
      <alignment horizontal="center" vertical="center" wrapText="1"/>
      <protection hidden="1"/>
    </xf>
  </cellXfs>
  <cellStyles count="11">
    <cellStyle name="Comma 2" xfId="4" xr:uid="{325CBC1B-046C-4066-9930-3BD731D7EA38}"/>
    <cellStyle name="Currency" xfId="1" builtinId="4"/>
    <cellStyle name="Currency 2" xfId="3" xr:uid="{FDC0BFE4-44CB-4B20-A99A-0B7690E57472}"/>
    <cellStyle name="Currency 2 2" xfId="9" xr:uid="{0894A061-AB5F-40E3-AEAF-1D15CC23352D}"/>
    <cellStyle name="Currency 3" xfId="6" xr:uid="{F74814AC-F5CD-4460-BDFC-A110A8277BC9}"/>
    <cellStyle name="Normal" xfId="0" builtinId="0"/>
    <cellStyle name="Normal 2" xfId="2" xr:uid="{1ED0090B-CD4B-4336-9929-FE9F411F76D3}"/>
    <cellStyle name="Normal 3" xfId="10" xr:uid="{D203D21F-FB1D-4A2E-8886-1CF471D38477}"/>
    <cellStyle name="Normal_4 9-01-05 Rate models VALUES_no date" xfId="5" xr:uid="{3A34871E-44F3-4C03-850C-E4A0FB1B732B}"/>
    <cellStyle name="Normal_GH HAB and HAN models" xfId="8" xr:uid="{28AD7E06-A0D8-4060-BE0F-E2BBDBE1209B}"/>
    <cellStyle name="Percent 2" xfId="7" xr:uid="{1A42C755-01A7-4EF6-A98D-B1464FCBBE1E}"/>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6B1DD-F587-468D-8840-D65C63C9AFBD}">
  <sheetPr codeName="Sheet1"/>
  <dimension ref="A1:S56"/>
  <sheetViews>
    <sheetView topLeftCell="A24" zoomScale="130" zoomScaleNormal="130" workbookViewId="0">
      <selection sqref="A1:XFD1"/>
    </sheetView>
  </sheetViews>
  <sheetFormatPr defaultColWidth="8.85546875" defaultRowHeight="15" x14ac:dyDescent="0.25"/>
  <cols>
    <col min="1" max="1" width="1.85546875" style="2" customWidth="1"/>
    <col min="2" max="2" width="175.42578125" style="2" customWidth="1"/>
    <col min="3" max="3" width="8.7109375" style="2" customWidth="1"/>
    <col min="4" max="16384" width="8.85546875" style="2"/>
  </cols>
  <sheetData>
    <row r="1" spans="2:19" ht="19.5" thickBot="1" x14ac:dyDescent="0.35">
      <c r="B1" s="82" t="s">
        <v>0</v>
      </c>
      <c r="C1" s="83"/>
      <c r="D1" s="83"/>
      <c r="E1" s="83"/>
      <c r="F1" s="83"/>
      <c r="G1" s="83"/>
      <c r="H1" s="83"/>
      <c r="I1" s="83"/>
      <c r="J1" s="83"/>
      <c r="K1" s="83"/>
      <c r="L1" s="83"/>
      <c r="M1" s="83"/>
      <c r="N1" s="83"/>
      <c r="O1" s="83"/>
      <c r="P1" s="83"/>
      <c r="Q1" s="83"/>
      <c r="R1" s="83"/>
      <c r="S1" s="1"/>
    </row>
    <row r="2" spans="2:19" ht="15.75" x14ac:dyDescent="0.25">
      <c r="B2" s="1"/>
      <c r="C2" s="1"/>
      <c r="D2" s="9"/>
      <c r="E2" s="1"/>
      <c r="F2" s="1"/>
      <c r="G2" s="1"/>
      <c r="H2" s="1"/>
      <c r="I2" s="1"/>
      <c r="J2" s="1"/>
      <c r="K2" s="1"/>
      <c r="L2" s="1"/>
      <c r="M2" s="1"/>
      <c r="N2" s="1"/>
      <c r="O2" s="1"/>
      <c r="P2" s="1"/>
      <c r="Q2" s="1"/>
      <c r="R2" s="1"/>
      <c r="S2" s="1"/>
    </row>
    <row r="3" spans="2:19" ht="15.75" x14ac:dyDescent="0.25">
      <c r="B3" s="84" t="s">
        <v>1</v>
      </c>
      <c r="D3" s="10"/>
    </row>
    <row r="4" spans="2:19" x14ac:dyDescent="0.25">
      <c r="B4" s="85" t="s">
        <v>2</v>
      </c>
    </row>
    <row r="5" spans="2:19" x14ac:dyDescent="0.25">
      <c r="B5" s="85" t="s">
        <v>3</v>
      </c>
    </row>
    <row r="7" spans="2:19" ht="15.75" x14ac:dyDescent="0.25">
      <c r="B7" s="84" t="s">
        <v>4</v>
      </c>
      <c r="D7" s="10"/>
    </row>
    <row r="8" spans="2:19" x14ac:dyDescent="0.25">
      <c r="B8" s="85" t="s">
        <v>5</v>
      </c>
    </row>
    <row r="9" spans="2:19" x14ac:dyDescent="0.25">
      <c r="B9" s="85" t="s">
        <v>6</v>
      </c>
    </row>
    <row r="10" spans="2:19" x14ac:dyDescent="0.25">
      <c r="B10" s="85" t="s">
        <v>7</v>
      </c>
    </row>
    <row r="11" spans="2:19" x14ac:dyDescent="0.25">
      <c r="B11" s="85" t="s">
        <v>8</v>
      </c>
    </row>
    <row r="12" spans="2:19" x14ac:dyDescent="0.25">
      <c r="B12" s="85" t="s">
        <v>9</v>
      </c>
    </row>
    <row r="13" spans="2:19" x14ac:dyDescent="0.25">
      <c r="B13" s="85" t="s">
        <v>10</v>
      </c>
    </row>
    <row r="15" spans="2:19" ht="15.75" x14ac:dyDescent="0.25">
      <c r="B15" s="84" t="s">
        <v>11</v>
      </c>
      <c r="C15" s="84"/>
      <c r="D15" s="84"/>
    </row>
    <row r="16" spans="2:19" x14ac:dyDescent="0.25">
      <c r="B16" s="85" t="s">
        <v>12</v>
      </c>
    </row>
    <row r="17" spans="1:2" x14ac:dyDescent="0.25">
      <c r="B17" s="85" t="s">
        <v>6</v>
      </c>
    </row>
    <row r="18" spans="1:2" x14ac:dyDescent="0.25">
      <c r="B18" s="85" t="s">
        <v>13</v>
      </c>
    </row>
    <row r="19" spans="1:2" x14ac:dyDescent="0.25">
      <c r="B19" s="85" t="s">
        <v>14</v>
      </c>
    </row>
    <row r="20" spans="1:2" x14ac:dyDescent="0.25">
      <c r="B20" s="85" t="s">
        <v>68</v>
      </c>
    </row>
    <row r="24" spans="1:2" x14ac:dyDescent="0.25"/>
    <row r="49" spans="2:2" ht="15.75" x14ac:dyDescent="0.25">
      <c r="B49" s="84" t="s">
        <v>15</v>
      </c>
    </row>
    <row r="50" spans="2:2" x14ac:dyDescent="0.25">
      <c r="B50" s="85" t="s">
        <v>16</v>
      </c>
    </row>
    <row r="51" spans="2:2" x14ac:dyDescent="0.25">
      <c r="B51" s="85" t="s">
        <v>17</v>
      </c>
    </row>
    <row r="52" spans="2:2" x14ac:dyDescent="0.25">
      <c r="B52" s="85" t="s">
        <v>18</v>
      </c>
    </row>
    <row r="53" spans="2:2" x14ac:dyDescent="0.25">
      <c r="B53" s="85" t="s">
        <v>7</v>
      </c>
    </row>
    <row r="54" spans="2:2" x14ac:dyDescent="0.25">
      <c r="B54" s="85" t="s">
        <v>8</v>
      </c>
    </row>
    <row r="55" spans="2:2" x14ac:dyDescent="0.25">
      <c r="B55" s="85" t="s">
        <v>19</v>
      </c>
    </row>
    <row r="56" spans="2:2" x14ac:dyDescent="0.25">
      <c r="B56" s="85" t="s">
        <v>10</v>
      </c>
    </row>
  </sheetData>
  <sheetProtection algorithmName="SHA-512" hashValue="RPX1HXY2H1EW6zBhwo9HXULkkbF8UkZy289HqjO+6aAIMtR7I4y3dShj0a3fTvwod/uP0plldnetEb+TFRxM5Q==" saltValue="VXw1QfLveX5JRitMDYRyOA==" spinCount="100000" sheet="1" objects="1" scenarios="1"/>
  <printOptions horizontalCentered="1"/>
  <pageMargins left="0.2" right="0.2" top="0.25" bottom="0.55000000000000004" header="0.05" footer="0.3"/>
  <pageSetup scale="67" fitToHeight="0" orientation="landscape" cellComments="asDisplayed"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22629-1610-4EAD-8A8E-713706574714}">
  <sheetPr codeName="Sheet2"/>
  <dimension ref="A1:F27"/>
  <sheetViews>
    <sheetView tabSelected="1" zoomScale="130" zoomScaleNormal="130" workbookViewId="0">
      <selection activeCell="E16" sqref="E16"/>
    </sheetView>
  </sheetViews>
  <sheetFormatPr defaultColWidth="8.85546875" defaultRowHeight="15" x14ac:dyDescent="0.25"/>
  <cols>
    <col min="1" max="1" width="18.5703125" style="2" customWidth="1"/>
    <col min="2" max="2" width="8.85546875" style="2"/>
    <col min="3" max="3" width="24.7109375" style="2" customWidth="1"/>
    <col min="4" max="4" width="8.85546875" style="2"/>
    <col min="5" max="5" width="9.5703125" style="2" bestFit="1" customWidth="1"/>
    <col min="6" max="6" width="37.42578125" style="2" bestFit="1" customWidth="1"/>
    <col min="7" max="16384" width="8.85546875" style="2"/>
  </cols>
  <sheetData>
    <row r="1" spans="1:6" x14ac:dyDescent="0.25">
      <c r="A1" s="2" t="s">
        <v>20</v>
      </c>
      <c r="D1" s="2" t="s">
        <v>21</v>
      </c>
      <c r="E1" s="2" t="s">
        <v>22</v>
      </c>
    </row>
    <row r="2" spans="1:6" x14ac:dyDescent="0.25">
      <c r="A2" s="90" t="s">
        <v>23</v>
      </c>
      <c r="B2" s="78" t="s">
        <v>24</v>
      </c>
      <c r="C2" s="78"/>
      <c r="D2" s="78" t="s">
        <v>25</v>
      </c>
      <c r="E2" s="79">
        <v>285.19</v>
      </c>
      <c r="F2" s="93" t="s">
        <v>26</v>
      </c>
    </row>
    <row r="3" spans="1:6" x14ac:dyDescent="0.25">
      <c r="A3" s="91"/>
      <c r="B3" s="2" t="s">
        <v>27</v>
      </c>
      <c r="D3" s="2" t="s">
        <v>25</v>
      </c>
      <c r="E3" s="80">
        <v>267.57</v>
      </c>
      <c r="F3" s="94"/>
    </row>
    <row r="4" spans="1:6" x14ac:dyDescent="0.25">
      <c r="A4" s="91"/>
      <c r="B4" s="2" t="s">
        <v>28</v>
      </c>
      <c r="D4" s="2" t="s">
        <v>25</v>
      </c>
      <c r="E4" s="80">
        <v>266.67</v>
      </c>
      <c r="F4" s="94"/>
    </row>
    <row r="5" spans="1:6" x14ac:dyDescent="0.25">
      <c r="A5" s="92"/>
      <c r="B5" s="8" t="s">
        <v>29</v>
      </c>
      <c r="C5" s="8"/>
      <c r="D5" s="8" t="s">
        <v>25</v>
      </c>
      <c r="E5" s="81">
        <v>255.12</v>
      </c>
      <c r="F5" s="94"/>
    </row>
    <row r="6" spans="1:6" x14ac:dyDescent="0.25">
      <c r="A6" s="90" t="s">
        <v>30</v>
      </c>
      <c r="B6" s="78" t="s">
        <v>24</v>
      </c>
      <c r="C6" s="78"/>
      <c r="D6" s="78" t="s">
        <v>25</v>
      </c>
      <c r="E6" s="79">
        <v>382.8</v>
      </c>
      <c r="F6" s="94"/>
    </row>
    <row r="7" spans="1:6" x14ac:dyDescent="0.25">
      <c r="A7" s="91"/>
      <c r="B7" s="2" t="s">
        <v>27</v>
      </c>
      <c r="D7" s="2" t="s">
        <v>25</v>
      </c>
      <c r="E7" s="80">
        <v>340.77</v>
      </c>
      <c r="F7" s="94"/>
    </row>
    <row r="8" spans="1:6" x14ac:dyDescent="0.25">
      <c r="A8" s="91"/>
      <c r="B8" s="2" t="s">
        <v>28</v>
      </c>
      <c r="D8" s="2" t="s">
        <v>25</v>
      </c>
      <c r="E8" s="80">
        <v>312.22000000000003</v>
      </c>
      <c r="F8" s="94"/>
    </row>
    <row r="9" spans="1:6" x14ac:dyDescent="0.25">
      <c r="A9" s="92"/>
      <c r="B9" s="8" t="s">
        <v>29</v>
      </c>
      <c r="C9" s="8"/>
      <c r="D9" s="8" t="s">
        <v>25</v>
      </c>
      <c r="E9" s="81">
        <v>282.37</v>
      </c>
      <c r="F9" s="94"/>
    </row>
    <row r="10" spans="1:6" x14ac:dyDescent="0.25">
      <c r="A10" s="90" t="s">
        <v>31</v>
      </c>
      <c r="B10" s="78" t="s">
        <v>24</v>
      </c>
      <c r="C10" s="78"/>
      <c r="D10" s="78" t="s">
        <v>25</v>
      </c>
      <c r="E10" s="79">
        <v>458.84</v>
      </c>
      <c r="F10" s="94"/>
    </row>
    <row r="11" spans="1:6" x14ac:dyDescent="0.25">
      <c r="A11" s="91"/>
      <c r="B11" s="2" t="s">
        <v>27</v>
      </c>
      <c r="D11" s="2" t="s">
        <v>25</v>
      </c>
      <c r="E11" s="80">
        <v>397.71</v>
      </c>
      <c r="F11" s="94"/>
    </row>
    <row r="12" spans="1:6" x14ac:dyDescent="0.25">
      <c r="A12" s="91"/>
      <c r="B12" s="2" t="s">
        <v>28</v>
      </c>
      <c r="D12" s="2" t="s">
        <v>25</v>
      </c>
      <c r="E12" s="80">
        <v>344.75</v>
      </c>
      <c r="F12" s="94"/>
    </row>
    <row r="13" spans="1:6" x14ac:dyDescent="0.25">
      <c r="A13" s="92"/>
      <c r="B13" s="8" t="s">
        <v>29</v>
      </c>
      <c r="C13" s="8"/>
      <c r="D13" s="8" t="s">
        <v>25</v>
      </c>
      <c r="E13" s="81">
        <v>317.76</v>
      </c>
      <c r="F13" s="95"/>
    </row>
    <row r="14" spans="1:6" ht="39.75" customHeight="1" x14ac:dyDescent="0.25"/>
    <row r="15" spans="1:6" x14ac:dyDescent="0.25">
      <c r="A15" s="2" t="s">
        <v>76</v>
      </c>
      <c r="D15" s="2" t="s">
        <v>21</v>
      </c>
      <c r="E15" s="2" t="s">
        <v>22</v>
      </c>
    </row>
    <row r="16" spans="1:6" x14ac:dyDescent="0.25">
      <c r="A16" s="90" t="s">
        <v>23</v>
      </c>
      <c r="B16" s="78" t="s">
        <v>24</v>
      </c>
      <c r="C16" s="78"/>
      <c r="D16" s="78" t="s">
        <v>25</v>
      </c>
      <c r="E16" s="79">
        <v>242.76</v>
      </c>
      <c r="F16" s="93" t="s">
        <v>26</v>
      </c>
    </row>
    <row r="17" spans="1:6" x14ac:dyDescent="0.25">
      <c r="A17" s="91"/>
      <c r="B17" s="2" t="s">
        <v>27</v>
      </c>
      <c r="D17" s="2" t="s">
        <v>25</v>
      </c>
      <c r="E17" s="80">
        <v>235.85</v>
      </c>
      <c r="F17" s="94"/>
    </row>
    <row r="18" spans="1:6" x14ac:dyDescent="0.25">
      <c r="A18" s="91"/>
      <c r="B18" s="2" t="s">
        <v>28</v>
      </c>
      <c r="D18" s="2" t="s">
        <v>25</v>
      </c>
      <c r="E18" s="80">
        <v>241.3</v>
      </c>
      <c r="F18" s="94"/>
    </row>
    <row r="19" spans="1:6" x14ac:dyDescent="0.25">
      <c r="A19" s="92"/>
      <c r="B19" s="8" t="s">
        <v>29</v>
      </c>
      <c r="C19" s="8"/>
      <c r="D19" s="8" t="s">
        <v>25</v>
      </c>
      <c r="E19" s="81">
        <v>234.11</v>
      </c>
      <c r="F19" s="94"/>
    </row>
    <row r="20" spans="1:6" x14ac:dyDescent="0.25">
      <c r="A20" s="90" t="s">
        <v>30</v>
      </c>
      <c r="B20" s="78" t="s">
        <v>24</v>
      </c>
      <c r="C20" s="78"/>
      <c r="D20" s="78" t="s">
        <v>25</v>
      </c>
      <c r="E20" s="79">
        <v>340.37</v>
      </c>
      <c r="F20" s="94"/>
    </row>
    <row r="21" spans="1:6" x14ac:dyDescent="0.25">
      <c r="A21" s="91"/>
      <c r="B21" s="2" t="s">
        <v>27</v>
      </c>
      <c r="D21" s="2" t="s">
        <v>25</v>
      </c>
      <c r="E21" s="80">
        <v>309.06</v>
      </c>
      <c r="F21" s="94"/>
    </row>
    <row r="22" spans="1:6" x14ac:dyDescent="0.25">
      <c r="A22" s="91"/>
      <c r="B22" s="2" t="s">
        <v>28</v>
      </c>
      <c r="D22" s="2" t="s">
        <v>25</v>
      </c>
      <c r="E22" s="80">
        <v>286.83999999999997</v>
      </c>
      <c r="F22" s="94"/>
    </row>
    <row r="23" spans="1:6" x14ac:dyDescent="0.25">
      <c r="A23" s="92"/>
      <c r="B23" s="8" t="s">
        <v>29</v>
      </c>
      <c r="C23" s="8"/>
      <c r="D23" s="8" t="s">
        <v>25</v>
      </c>
      <c r="E23" s="81">
        <v>261.36</v>
      </c>
      <c r="F23" s="94"/>
    </row>
    <row r="24" spans="1:6" x14ac:dyDescent="0.25">
      <c r="A24" s="90" t="s">
        <v>31</v>
      </c>
      <c r="B24" s="78" t="s">
        <v>24</v>
      </c>
      <c r="C24" s="78"/>
      <c r="D24" s="78" t="s">
        <v>25</v>
      </c>
      <c r="E24" s="79">
        <v>416.41</v>
      </c>
      <c r="F24" s="94"/>
    </row>
    <row r="25" spans="1:6" x14ac:dyDescent="0.25">
      <c r="A25" s="91"/>
      <c r="B25" s="2" t="s">
        <v>27</v>
      </c>
      <c r="D25" s="2" t="s">
        <v>25</v>
      </c>
      <c r="E25" s="80">
        <v>365.99</v>
      </c>
      <c r="F25" s="94"/>
    </row>
    <row r="26" spans="1:6" x14ac:dyDescent="0.25">
      <c r="A26" s="91"/>
      <c r="B26" s="2" t="s">
        <v>28</v>
      </c>
      <c r="D26" s="2" t="s">
        <v>25</v>
      </c>
      <c r="E26" s="80">
        <v>319.38</v>
      </c>
      <c r="F26" s="94"/>
    </row>
    <row r="27" spans="1:6" x14ac:dyDescent="0.25">
      <c r="A27" s="92"/>
      <c r="B27" s="8" t="s">
        <v>29</v>
      </c>
      <c r="C27" s="8"/>
      <c r="D27" s="8" t="s">
        <v>25</v>
      </c>
      <c r="E27" s="81">
        <v>296.33</v>
      </c>
      <c r="F27" s="95"/>
    </row>
  </sheetData>
  <sheetProtection algorithmName="SHA-512" hashValue="+6iCrTnOmkpGA/956fd8CbXWsBzHIBw5xKUaZEA81d7DCr5pULI0Z3vm5CRINvT4YF5FuzImjTomtSZa5bqhAA==" saltValue="99NawVBeQgraTdW78Z+DNg==" spinCount="100000" sheet="1" objects="1" scenarios="1"/>
  <mergeCells count="8">
    <mergeCell ref="A2:A5"/>
    <mergeCell ref="A6:A9"/>
    <mergeCell ref="A10:A13"/>
    <mergeCell ref="F2:F13"/>
    <mergeCell ref="A16:A19"/>
    <mergeCell ref="F16:F27"/>
    <mergeCell ref="A20:A23"/>
    <mergeCell ref="A24:A27"/>
  </mergeCells>
  <printOptions horizontalCentered="1"/>
  <pageMargins left="0.45" right="0.45" top="0.75" bottom="0.5" header="0.3" footer="0.3"/>
  <pageSetup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5675B-3CB4-4B4F-9DA4-B3F90FBB86B3}">
  <sheetPr codeName="Sheet3">
    <pageSetUpPr fitToPage="1"/>
  </sheetPr>
  <dimension ref="A1:E27"/>
  <sheetViews>
    <sheetView zoomScaleNormal="100" workbookViewId="0">
      <selection activeCell="D6" sqref="D6"/>
    </sheetView>
  </sheetViews>
  <sheetFormatPr defaultColWidth="8.85546875" defaultRowHeight="15" x14ac:dyDescent="0.25"/>
  <cols>
    <col min="1" max="1" width="3" style="2" customWidth="1"/>
    <col min="2" max="2" width="30" style="2" bestFit="1" customWidth="1"/>
    <col min="3" max="3" width="1.7109375" style="2" customWidth="1"/>
    <col min="4" max="4" width="10.42578125" style="2" customWidth="1"/>
    <col min="5" max="5" width="81.28515625" style="2" customWidth="1"/>
    <col min="6" max="16384" width="8.85546875" style="2"/>
  </cols>
  <sheetData>
    <row r="1" spans="1:5" ht="15.75" thickBot="1" x14ac:dyDescent="0.3"/>
    <row r="2" spans="1:5" ht="16.5" thickBot="1" x14ac:dyDescent="0.3">
      <c r="A2" s="96" t="s">
        <v>63</v>
      </c>
      <c r="B2" s="97"/>
      <c r="C2" s="97"/>
      <c r="D2" s="97"/>
      <c r="E2" s="98"/>
    </row>
    <row r="3" spans="1:5" x14ac:dyDescent="0.25">
      <c r="A3" s="11"/>
      <c r="B3" s="12"/>
      <c r="C3" s="12"/>
      <c r="D3" s="12"/>
      <c r="E3" s="13"/>
    </row>
    <row r="4" spans="1:5" x14ac:dyDescent="0.25">
      <c r="A4" s="11"/>
      <c r="B4" s="12" t="s">
        <v>32</v>
      </c>
      <c r="C4" s="12"/>
      <c r="D4" s="3">
        <v>3</v>
      </c>
      <c r="E4" s="13" t="s">
        <v>33</v>
      </c>
    </row>
    <row r="5" spans="1:5" x14ac:dyDescent="0.25">
      <c r="A5" s="11"/>
      <c r="B5" s="14" t="s">
        <v>34</v>
      </c>
      <c r="C5" s="14"/>
      <c r="D5" s="7" t="s">
        <v>35</v>
      </c>
      <c r="E5" s="13" t="s">
        <v>36</v>
      </c>
    </row>
    <row r="6" spans="1:5" x14ac:dyDescent="0.25">
      <c r="A6" s="15"/>
      <c r="B6" s="16" t="s">
        <v>75</v>
      </c>
      <c r="C6" s="12"/>
      <c r="D6" s="3" t="s">
        <v>73</v>
      </c>
      <c r="E6" s="17"/>
    </row>
    <row r="7" spans="1:5" x14ac:dyDescent="0.25">
      <c r="A7" s="18"/>
      <c r="B7" s="19"/>
      <c r="C7" s="19"/>
      <c r="D7" s="19"/>
      <c r="E7" s="20"/>
    </row>
    <row r="8" spans="1:5" x14ac:dyDescent="0.25">
      <c r="A8" s="11"/>
      <c r="B8" s="12"/>
      <c r="C8" s="12"/>
      <c r="D8" s="22"/>
      <c r="E8" s="13"/>
    </row>
    <row r="9" spans="1:5" x14ac:dyDescent="0.25">
      <c r="A9" s="11"/>
      <c r="B9" s="12"/>
      <c r="C9" s="12"/>
      <c r="D9" s="12"/>
      <c r="E9" s="13"/>
    </row>
    <row r="10" spans="1:5" x14ac:dyDescent="0.25">
      <c r="A10" s="18"/>
      <c r="B10" s="19"/>
      <c r="C10" s="19"/>
      <c r="D10" s="19"/>
      <c r="E10" s="20"/>
    </row>
    <row r="11" spans="1:5" x14ac:dyDescent="0.25">
      <c r="A11" s="11"/>
      <c r="B11" s="12" t="s">
        <v>42</v>
      </c>
      <c r="C11" s="12"/>
      <c r="D11" s="23" cm="1">
        <f t="array" ref="D11">IF(OR(ISBLANK(D4),ISBLANK(D5),ISBLANK(D6)),"",SUM(IF((Lookups!$E$9:$E$12=D$4)*(Lookups!$F$8:$H$8=D$5)*(Lookups!$E$7=D$6), Lookups!$F$9:$H$12)))</f>
        <v>458.84</v>
      </c>
      <c r="E11" s="13"/>
    </row>
    <row r="12" spans="1:5" x14ac:dyDescent="0.25">
      <c r="A12" s="11"/>
      <c r="B12" s="12"/>
      <c r="C12" s="12"/>
      <c r="D12" s="23" cm="1">
        <f t="array" ref="D12">IF(OR(ISBLANK(D4),ISBLANK(D5),ISBLANK(D6)),"",SUM(IF((Lookups!$E$9:$E$12=D$4)*(Lookups!$F$8:$H$8=D$5)*(Lookups!$E$14=D$6),Lookups!F16:H19)))</f>
        <v>0</v>
      </c>
      <c r="E12" s="13" t="s">
        <v>77</v>
      </c>
    </row>
    <row r="13" spans="1:5" x14ac:dyDescent="0.25">
      <c r="A13" s="15"/>
      <c r="B13" s="16"/>
      <c r="C13" s="16"/>
      <c r="D13" s="16"/>
      <c r="E13" s="17"/>
    </row>
    <row r="15" spans="1:5" ht="24.6" customHeight="1" thickBot="1" x14ac:dyDescent="0.3">
      <c r="B15" s="24" t="s">
        <v>43</v>
      </c>
      <c r="D15" s="25"/>
      <c r="E15" s="88"/>
    </row>
    <row r="16" spans="1:5" ht="24.6" customHeight="1" thickTop="1" thickBot="1" x14ac:dyDescent="0.3">
      <c r="B16" s="24" t="s">
        <v>69</v>
      </c>
      <c r="C16" s="2">
        <v>16</v>
      </c>
      <c r="D16" s="87"/>
      <c r="E16" s="88"/>
    </row>
    <row r="17" spans="2:5" ht="24.6" customHeight="1" thickTop="1" thickBot="1" x14ac:dyDescent="0.3">
      <c r="B17" s="24" t="s">
        <v>45</v>
      </c>
      <c r="D17" s="25"/>
      <c r="E17" s="88"/>
    </row>
    <row r="18" spans="2:5" ht="24.6" customHeight="1" thickTop="1" thickBot="1" x14ac:dyDescent="0.3">
      <c r="C18" s="2">
        <v>37</v>
      </c>
      <c r="D18" s="26"/>
      <c r="E18" s="88"/>
    </row>
    <row r="19" spans="2:5" ht="24.6" customHeight="1" thickTop="1" thickBot="1" x14ac:dyDescent="0.3">
      <c r="B19" s="24" t="s">
        <v>70</v>
      </c>
      <c r="D19" s="25"/>
      <c r="E19" s="25"/>
    </row>
    <row r="20" spans="2:5" ht="21" customHeight="1" thickTop="1" x14ac:dyDescent="0.25">
      <c r="D20" s="27"/>
      <c r="E20" s="27"/>
    </row>
    <row r="21" spans="2:5" ht="21" customHeight="1" thickBot="1" x14ac:dyDescent="0.3">
      <c r="B21" s="24" t="s">
        <v>46</v>
      </c>
      <c r="D21" s="86"/>
      <c r="E21" s="25"/>
    </row>
    <row r="22" spans="2:5" ht="21" customHeight="1" thickTop="1" x14ac:dyDescent="0.25">
      <c r="D22" s="27"/>
      <c r="E22" s="27"/>
    </row>
    <row r="23" spans="2:5" ht="21" customHeight="1" thickBot="1" x14ac:dyDescent="0.3">
      <c r="B23" s="24" t="s">
        <v>47</v>
      </c>
      <c r="D23" s="28"/>
      <c r="E23" s="28"/>
    </row>
    <row r="27" spans="2:5" x14ac:dyDescent="0.25">
      <c r="E27" s="89" t="s">
        <v>78</v>
      </c>
    </row>
  </sheetData>
  <sheetProtection algorithmName="SHA-512" hashValue="086bD2Q4p+LHudEo6fB+cbM2OlsPy3MhtnpbE1uNSerZrk1VvXy12rG+51V9WUxV0wZPFV7/8yFj8lml8DKOYw==" saltValue="XB/qQqNXOMBQr+svxU7hcQ==" spinCount="100000" sheet="1" objects="1" scenarios="1"/>
  <mergeCells count="1">
    <mergeCell ref="A2:E2"/>
  </mergeCells>
  <pageMargins left="0.7" right="0.7" top="0.75" bottom="0.75" header="0.3" footer="0.3"/>
  <pageSetup scale="96" orientation="landscape" r:id="rId1"/>
  <headerFooter>
    <oddFooter>&amp;C&amp;"Aptos,Regular"Revised July 2025</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55ECB3E8-431D-41E3-88B5-FD2838B116BF}">
          <x14:formula1>
            <xm:f>Lookups!$F$8:$H$8</xm:f>
          </x14:formula1>
          <xm:sqref>D5</xm:sqref>
        </x14:dataValidation>
        <x14:dataValidation type="list" allowBlank="1" showInputMessage="1" showErrorMessage="1" xr:uid="{E7F86056-55C2-4774-BDC5-ED0DEC5EC79C}">
          <x14:formula1>
            <xm:f>Lookups!$E$9:$E$12</xm:f>
          </x14:formula1>
          <xm:sqref>D4:D5</xm:sqref>
        </x14:dataValidation>
        <x14:dataValidation type="list" allowBlank="1" showInputMessage="1" showErrorMessage="1" xr:uid="{BB759DEA-BB21-4013-BE73-BBD7D17EFD70}">
          <x14:formula1>
            <xm:f>Lookups!$E$1:$E$2</xm:f>
          </x14:formula1>
          <xm:sqref>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13B28-C139-4579-B607-8B13FE22FC67}">
  <sheetPr codeName="Sheet4">
    <pageSetUpPr fitToPage="1"/>
  </sheetPr>
  <dimension ref="A1:E26"/>
  <sheetViews>
    <sheetView zoomScaleNormal="100" workbookViewId="0">
      <selection activeCell="D18" sqref="D18"/>
    </sheetView>
  </sheetViews>
  <sheetFormatPr defaultColWidth="8.85546875" defaultRowHeight="15" x14ac:dyDescent="0.25"/>
  <cols>
    <col min="1" max="1" width="3" style="2" customWidth="1"/>
    <col min="2" max="2" width="30" style="2" bestFit="1" customWidth="1"/>
    <col min="3" max="3" width="1.7109375" style="2" customWidth="1"/>
    <col min="4" max="4" width="10.42578125" style="2" customWidth="1"/>
    <col min="5" max="5" width="88.7109375" style="2" customWidth="1"/>
    <col min="6" max="16384" width="8.85546875" style="2"/>
  </cols>
  <sheetData>
    <row r="1" spans="1:5" ht="15.75" thickBot="1" x14ac:dyDescent="0.3"/>
    <row r="2" spans="1:5" ht="16.5" thickBot="1" x14ac:dyDescent="0.3">
      <c r="A2" s="96" t="s">
        <v>63</v>
      </c>
      <c r="B2" s="97"/>
      <c r="C2" s="97"/>
      <c r="D2" s="97"/>
      <c r="E2" s="98"/>
    </row>
    <row r="3" spans="1:5" x14ac:dyDescent="0.25">
      <c r="A3" s="11"/>
      <c r="B3" s="12"/>
      <c r="C3" s="12"/>
      <c r="D3" s="12"/>
      <c r="E3" s="13"/>
    </row>
    <row r="4" spans="1:5" x14ac:dyDescent="0.25">
      <c r="A4" s="11"/>
      <c r="B4" s="12" t="s">
        <v>32</v>
      </c>
      <c r="C4" s="12"/>
      <c r="D4" s="3">
        <v>3</v>
      </c>
      <c r="E4" s="13" t="s">
        <v>33</v>
      </c>
    </row>
    <row r="5" spans="1:5" x14ac:dyDescent="0.25">
      <c r="A5" s="15"/>
      <c r="B5" s="16" t="s">
        <v>34</v>
      </c>
      <c r="C5" s="16"/>
      <c r="D5" s="4" t="s">
        <v>35</v>
      </c>
      <c r="E5" s="17" t="s">
        <v>36</v>
      </c>
    </row>
    <row r="6" spans="1:5" x14ac:dyDescent="0.25">
      <c r="A6" s="18"/>
      <c r="B6" s="19"/>
      <c r="C6" s="19"/>
      <c r="D6" s="19"/>
      <c r="E6" s="20"/>
    </row>
    <row r="7" spans="1:5" x14ac:dyDescent="0.25">
      <c r="A7" s="11"/>
      <c r="B7" s="12" t="s">
        <v>37</v>
      </c>
      <c r="C7" s="12"/>
      <c r="D7" s="22" cm="1">
        <f t="array" ref="D7">IF(OR(ISBLANK(D4),ISBLANK(D5)),"",SUM(IF((Lookups!$E$9:$E$12=D$4)*(Lookups!$F$8:$H$8=D$5), Lookups!$F$9:$H$12)))</f>
        <v>458.84</v>
      </c>
      <c r="E7" s="13"/>
    </row>
    <row r="8" spans="1:5" x14ac:dyDescent="0.25">
      <c r="A8" s="11"/>
      <c r="B8" s="12"/>
      <c r="C8" s="12"/>
      <c r="D8" s="12"/>
      <c r="E8" s="13"/>
    </row>
    <row r="9" spans="1:5" x14ac:dyDescent="0.25">
      <c r="A9" s="11"/>
      <c r="B9" s="12" t="s">
        <v>38</v>
      </c>
      <c r="C9" s="12"/>
      <c r="D9" s="3">
        <v>0</v>
      </c>
      <c r="E9" s="99" t="s">
        <v>39</v>
      </c>
    </row>
    <row r="10" spans="1:5" x14ac:dyDescent="0.25">
      <c r="A10" s="11"/>
      <c r="B10" s="12" t="s">
        <v>40</v>
      </c>
      <c r="C10" s="12"/>
      <c r="D10" s="3">
        <v>0</v>
      </c>
      <c r="E10" s="99"/>
    </row>
    <row r="11" spans="1:5" x14ac:dyDescent="0.25">
      <c r="A11" s="11"/>
      <c r="B11" s="12"/>
      <c r="C11" s="12"/>
      <c r="D11" s="12"/>
      <c r="E11" s="13"/>
    </row>
    <row r="12" spans="1:5" x14ac:dyDescent="0.25">
      <c r="A12" s="11"/>
      <c r="B12" s="12" t="s">
        <v>41</v>
      </c>
      <c r="C12" s="12"/>
      <c r="D12" s="22" cm="1">
        <f t="array" ref="D12">IF(ISBLANK(D5),"",SUM(IF(Lookups!A2:A4=D5,Lookups!B2:B4)))*(D9+2*D10)</f>
        <v>0</v>
      </c>
      <c r="E12" s="13"/>
    </row>
    <row r="13" spans="1:5" x14ac:dyDescent="0.25">
      <c r="A13" s="11"/>
      <c r="B13" s="12"/>
      <c r="C13" s="12"/>
      <c r="D13" s="12"/>
      <c r="E13" s="13"/>
    </row>
    <row r="14" spans="1:5" x14ac:dyDescent="0.25">
      <c r="A14" s="18"/>
      <c r="B14" s="19"/>
      <c r="C14" s="19"/>
      <c r="D14" s="19"/>
      <c r="E14" s="20"/>
    </row>
    <row r="15" spans="1:5" x14ac:dyDescent="0.25">
      <c r="A15" s="11"/>
      <c r="B15" s="12" t="s">
        <v>42</v>
      </c>
      <c r="C15" s="12"/>
      <c r="D15" s="29">
        <f>D7+D12</f>
        <v>458.84</v>
      </c>
      <c r="E15" s="13"/>
    </row>
    <row r="16" spans="1:5" x14ac:dyDescent="0.25">
      <c r="A16" s="15"/>
      <c r="B16" s="16"/>
      <c r="C16" s="16"/>
      <c r="D16" s="16"/>
      <c r="E16" s="17"/>
    </row>
    <row r="18" spans="2:5" ht="25.9" customHeight="1" thickBot="1" x14ac:dyDescent="0.3">
      <c r="B18" s="24" t="s">
        <v>43</v>
      </c>
      <c r="D18" s="25"/>
      <c r="E18" s="25"/>
    </row>
    <row r="19" spans="2:5" ht="25.9" customHeight="1" thickTop="1" thickBot="1" x14ac:dyDescent="0.3">
      <c r="B19" s="24" t="s">
        <v>69</v>
      </c>
      <c r="D19" s="25"/>
      <c r="E19" s="25"/>
    </row>
    <row r="20" spans="2:5" ht="25.9" customHeight="1" thickTop="1" thickBot="1" x14ac:dyDescent="0.3">
      <c r="B20" s="24" t="s">
        <v>45</v>
      </c>
      <c r="D20" s="25"/>
      <c r="E20" s="25"/>
    </row>
    <row r="21" spans="2:5" ht="25.9" customHeight="1" thickTop="1" thickBot="1" x14ac:dyDescent="0.3">
      <c r="D21" s="26"/>
      <c r="E21" s="26"/>
    </row>
    <row r="22" spans="2:5" ht="25.9" customHeight="1" thickTop="1" thickBot="1" x14ac:dyDescent="0.3">
      <c r="B22" s="24" t="s">
        <v>70</v>
      </c>
      <c r="D22" s="25"/>
      <c r="E22" s="25"/>
    </row>
    <row r="23" spans="2:5" ht="21" customHeight="1" thickTop="1" x14ac:dyDescent="0.25">
      <c r="D23" s="27"/>
      <c r="E23" s="27"/>
    </row>
    <row r="24" spans="2:5" ht="21" customHeight="1" thickBot="1" x14ac:dyDescent="0.3">
      <c r="B24" s="24" t="s">
        <v>46</v>
      </c>
      <c r="D24" s="25"/>
      <c r="E24" s="25"/>
    </row>
    <row r="25" spans="2:5" ht="21" customHeight="1" thickTop="1" x14ac:dyDescent="0.25">
      <c r="D25" s="27"/>
      <c r="E25" s="27"/>
    </row>
    <row r="26" spans="2:5" ht="21" customHeight="1" thickBot="1" x14ac:dyDescent="0.3">
      <c r="B26" s="24" t="s">
        <v>47</v>
      </c>
      <c r="D26" s="28"/>
      <c r="E26" s="28"/>
    </row>
  </sheetData>
  <sheetProtection algorithmName="SHA-512" hashValue="U8R7Z7php3BlbYXI0TFMHKHb9s1/raLikjj5uakvKNvgtCsOcRlvfmBm/Uzw3fgpQ9oVu5bFuk0k3fd/m+JA3Q==" saltValue="SFdXhLsderFWhRFp2J8KCw==" spinCount="100000" sheet="1" objects="1" scenarios="1"/>
  <mergeCells count="2">
    <mergeCell ref="A2:E2"/>
    <mergeCell ref="E9:E10"/>
  </mergeCells>
  <pageMargins left="0.7" right="0.7" top="0.75" bottom="0.75" header="0.3" footer="0.3"/>
  <pageSetup scale="91" orientation="landscape" verticalDpi="0" r:id="rId1"/>
  <headerFooter>
    <oddFooter>&amp;C&amp;"Aptos,Regular"&amp;12&amp;A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F3DBE9C-26F5-479B-B708-7D38276EF20C}">
          <x14:formula1>
            <xm:f>Lookups!$E$9:$E$12</xm:f>
          </x14:formula1>
          <xm:sqref>D4</xm:sqref>
        </x14:dataValidation>
        <x14:dataValidation type="list" allowBlank="1" showInputMessage="1" showErrorMessage="1" xr:uid="{451FBEF1-8EFA-4828-A0AF-224E4E8B2E4D}">
          <x14:formula1>
            <xm:f>Lookups!$F$8:$H$8</xm:f>
          </x14:formula1>
          <xm:sqref>D5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DD4AB-0B0A-44F2-8175-F9C11AF3E6FE}">
  <sheetPr codeName="Sheet5"/>
  <dimension ref="A1:E33"/>
  <sheetViews>
    <sheetView zoomScaleNormal="100" zoomScaleSheetLayoutView="100" workbookViewId="0">
      <selection activeCell="E10" sqref="E10:E11"/>
    </sheetView>
  </sheetViews>
  <sheetFormatPr defaultColWidth="8" defaultRowHeight="15" customHeight="1" x14ac:dyDescent="0.25"/>
  <cols>
    <col min="1" max="1" width="3.7109375" style="32" customWidth="1"/>
    <col min="2" max="2" width="47" style="73" customWidth="1"/>
    <col min="3" max="3" width="2.42578125" style="73" customWidth="1"/>
    <col min="4" max="4" width="21.85546875" style="32" customWidth="1"/>
    <col min="5" max="5" width="41.7109375" style="32" customWidth="1"/>
    <col min="6" max="16384" width="8" style="32"/>
  </cols>
  <sheetData>
    <row r="1" spans="1:5" ht="15" customHeight="1" thickBot="1" x14ac:dyDescent="0.3">
      <c r="A1" s="102"/>
      <c r="B1" s="102"/>
      <c r="C1" s="102"/>
      <c r="D1" s="102"/>
      <c r="E1" s="102"/>
    </row>
    <row r="2" spans="1:5" s="34" customFormat="1" ht="15.75" x14ac:dyDescent="0.25">
      <c r="A2" s="100" t="s">
        <v>48</v>
      </c>
      <c r="B2" s="101"/>
      <c r="C2" s="101"/>
      <c r="D2" s="101"/>
      <c r="E2" s="33"/>
    </row>
    <row r="3" spans="1:5" s="39" customFormat="1" ht="15" customHeight="1" x14ac:dyDescent="0.25">
      <c r="A3" s="35"/>
      <c r="B3" s="36"/>
      <c r="C3" s="36"/>
      <c r="D3" s="37"/>
      <c r="E3" s="38"/>
    </row>
    <row r="4" spans="1:5" s="39" customFormat="1" ht="15" customHeight="1" x14ac:dyDescent="0.25">
      <c r="A4" s="40"/>
      <c r="B4" s="41" t="s">
        <v>49</v>
      </c>
      <c r="C4" s="41"/>
      <c r="D4" s="5">
        <v>22</v>
      </c>
      <c r="E4" s="42"/>
    </row>
    <row r="5" spans="1:5" s="39" customFormat="1" ht="15" customHeight="1" x14ac:dyDescent="0.25">
      <c r="A5" s="40"/>
      <c r="B5" s="43" t="s">
        <v>50</v>
      </c>
      <c r="C5" s="43"/>
      <c r="D5" s="6">
        <v>0.38869999999999999</v>
      </c>
      <c r="E5" s="42"/>
    </row>
    <row r="6" spans="1:5" s="39" customFormat="1" ht="15" customHeight="1" x14ac:dyDescent="0.25">
      <c r="A6" s="40"/>
      <c r="B6" s="44" t="s">
        <v>51</v>
      </c>
      <c r="C6" s="44"/>
      <c r="D6" s="5">
        <f>ROUND(D4*(1+D5),2)</f>
        <v>30.55</v>
      </c>
      <c r="E6" s="42"/>
    </row>
    <row r="7" spans="1:5" s="39" customFormat="1" ht="15" customHeight="1" x14ac:dyDescent="0.25">
      <c r="A7" s="40"/>
      <c r="B7" s="12" t="s">
        <v>32</v>
      </c>
      <c r="C7" s="12"/>
      <c r="D7" s="3">
        <v>3</v>
      </c>
      <c r="E7" s="74" t="s">
        <v>33</v>
      </c>
    </row>
    <row r="8" spans="1:5" s="39" customFormat="1" ht="15" customHeight="1" x14ac:dyDescent="0.25">
      <c r="A8" s="40"/>
      <c r="B8" s="44"/>
      <c r="C8" s="44"/>
      <c r="D8" s="5"/>
      <c r="E8" s="42"/>
    </row>
    <row r="9" spans="1:5" s="39" customFormat="1" ht="15" customHeight="1" x14ac:dyDescent="0.25">
      <c r="A9" s="40"/>
      <c r="B9" s="44"/>
      <c r="C9" s="44"/>
      <c r="D9" s="5"/>
      <c r="E9" s="42"/>
    </row>
    <row r="10" spans="1:5" s="39" customFormat="1" ht="15" customHeight="1" x14ac:dyDescent="0.25">
      <c r="A10" s="40"/>
      <c r="B10" s="46" t="s">
        <v>64</v>
      </c>
      <c r="C10" s="46"/>
      <c r="D10" s="47">
        <v>24</v>
      </c>
      <c r="E10" s="103" t="s">
        <v>66</v>
      </c>
    </row>
    <row r="11" spans="1:5" s="39" customFormat="1" ht="19.149999999999999" customHeight="1" x14ac:dyDescent="0.25">
      <c r="A11" s="40"/>
      <c r="B11" s="46" t="s">
        <v>65</v>
      </c>
      <c r="C11" s="46"/>
      <c r="D11" s="47">
        <v>0</v>
      </c>
      <c r="E11" s="104"/>
    </row>
    <row r="12" spans="1:5" s="39" customFormat="1" ht="15" customHeight="1" x14ac:dyDescent="0.25">
      <c r="A12" s="40"/>
      <c r="B12" s="46" t="s">
        <v>52</v>
      </c>
      <c r="C12" s="46"/>
      <c r="D12" s="48">
        <f>D10+(D11/(D7/2))</f>
        <v>24</v>
      </c>
      <c r="E12" s="42"/>
    </row>
    <row r="13" spans="1:5" s="39" customFormat="1" ht="15" customHeight="1" x14ac:dyDescent="0.25">
      <c r="A13" s="40"/>
      <c r="B13" s="49"/>
      <c r="C13" s="49"/>
      <c r="D13" s="50"/>
      <c r="E13" s="42"/>
    </row>
    <row r="14" spans="1:5" s="39" customFormat="1" ht="15" customHeight="1" x14ac:dyDescent="0.25">
      <c r="A14" s="40"/>
      <c r="B14" s="51" t="s">
        <v>53</v>
      </c>
      <c r="C14" s="51"/>
      <c r="D14" s="52">
        <f>D6*D12</f>
        <v>733.2</v>
      </c>
      <c r="E14" s="42"/>
    </row>
    <row r="15" spans="1:5" s="39" customFormat="1" ht="15" customHeight="1" x14ac:dyDescent="0.25">
      <c r="A15" s="40"/>
      <c r="B15" s="51"/>
      <c r="C15" s="51"/>
      <c r="D15" s="52"/>
      <c r="E15" s="42"/>
    </row>
    <row r="16" spans="1:5" s="39" customFormat="1" ht="15" customHeight="1" x14ac:dyDescent="0.25">
      <c r="A16" s="40"/>
      <c r="B16" s="53" t="s">
        <v>54</v>
      </c>
      <c r="C16" s="53"/>
      <c r="D16" s="54">
        <v>30</v>
      </c>
      <c r="E16" s="42"/>
    </row>
    <row r="17" spans="1:5" s="39" customFormat="1" ht="15" customHeight="1" x14ac:dyDescent="0.25">
      <c r="A17" s="40"/>
      <c r="B17" s="53"/>
      <c r="C17" s="53"/>
      <c r="D17" s="54"/>
      <c r="E17" s="42"/>
    </row>
    <row r="18" spans="1:5" ht="15" customHeight="1" x14ac:dyDescent="0.25">
      <c r="A18" s="55"/>
      <c r="B18" s="53" t="s">
        <v>55</v>
      </c>
      <c r="C18" s="53"/>
      <c r="D18" s="52">
        <f>D16+D14+10</f>
        <v>773.2</v>
      </c>
      <c r="E18" s="56"/>
    </row>
    <row r="19" spans="1:5" ht="15" customHeight="1" x14ac:dyDescent="0.25">
      <c r="A19" s="57"/>
      <c r="B19" s="58"/>
      <c r="C19" s="58"/>
      <c r="D19" s="59"/>
      <c r="E19" s="60"/>
    </row>
    <row r="20" spans="1:5" ht="15" hidden="1" customHeight="1" x14ac:dyDescent="0.25">
      <c r="A20" s="55"/>
      <c r="B20" s="53"/>
      <c r="C20" s="53"/>
      <c r="D20" s="52" cm="1">
        <f t="array" ref="D20">IF(OR(ISBLANK(D7)),"",SUM(IF((Lookups!$E$9:$E$12=D$7), Lookups!$H$9:$H$12)))</f>
        <v>458.84</v>
      </c>
      <c r="E20" s="56"/>
    </row>
    <row r="21" spans="1:5" ht="15" customHeight="1" x14ac:dyDescent="0.25">
      <c r="A21" s="61"/>
      <c r="B21" s="36"/>
      <c r="C21" s="36"/>
      <c r="D21" s="62"/>
      <c r="E21" s="63"/>
    </row>
    <row r="22" spans="1:5" ht="15" customHeight="1" x14ac:dyDescent="0.25">
      <c r="A22" s="55"/>
      <c r="B22" s="64" t="s">
        <v>56</v>
      </c>
      <c r="C22" s="65"/>
      <c r="D22" s="66">
        <f>IF(OR(D18&lt;D20), D20, (ROUND(D18*365/344,2)))</f>
        <v>820.4</v>
      </c>
      <c r="E22" s="56"/>
    </row>
    <row r="23" spans="1:5" ht="15" customHeight="1" x14ac:dyDescent="0.25">
      <c r="A23" s="57"/>
      <c r="B23" s="67"/>
      <c r="C23" s="67"/>
      <c r="D23" s="59"/>
      <c r="E23" s="60"/>
    </row>
    <row r="25" spans="1:5" ht="24" customHeight="1" thickBot="1" x14ac:dyDescent="0.3">
      <c r="B25" s="24" t="s">
        <v>43</v>
      </c>
      <c r="C25" s="24"/>
      <c r="D25" s="28"/>
      <c r="E25" s="68"/>
    </row>
    <row r="26" spans="1:5" ht="24" customHeight="1" thickBot="1" x14ac:dyDescent="0.3">
      <c r="B26" s="24" t="s">
        <v>44</v>
      </c>
      <c r="C26" s="24"/>
      <c r="D26" s="69"/>
      <c r="E26" s="70"/>
    </row>
    <row r="27" spans="1:5" ht="24" customHeight="1" thickBot="1" x14ac:dyDescent="0.3">
      <c r="B27" s="24" t="s">
        <v>45</v>
      </c>
      <c r="C27" s="24"/>
      <c r="D27" s="69"/>
      <c r="E27" s="70"/>
    </row>
    <row r="28" spans="1:5" ht="24" customHeight="1" thickBot="1" x14ac:dyDescent="0.3">
      <c r="B28" s="24"/>
      <c r="C28" s="24"/>
      <c r="D28" s="69"/>
      <c r="E28" s="70"/>
    </row>
    <row r="29" spans="1:5" ht="24" customHeight="1" thickBot="1" x14ac:dyDescent="0.3">
      <c r="B29" s="24" t="s">
        <v>70</v>
      </c>
      <c r="C29" s="2"/>
      <c r="D29" s="69"/>
      <c r="E29" s="70"/>
    </row>
    <row r="30" spans="1:5" ht="24" customHeight="1" x14ac:dyDescent="0.25">
      <c r="B30" s="2"/>
      <c r="C30" s="2"/>
      <c r="D30" s="71"/>
      <c r="E30" s="72"/>
    </row>
    <row r="31" spans="1:5" ht="24" customHeight="1" thickBot="1" x14ac:dyDescent="0.3">
      <c r="B31" s="24" t="s">
        <v>57</v>
      </c>
      <c r="C31" s="2"/>
      <c r="D31" s="28"/>
      <c r="E31" s="68"/>
    </row>
    <row r="32" spans="1:5" ht="24" customHeight="1" x14ac:dyDescent="0.25">
      <c r="B32" s="2"/>
      <c r="C32" s="2"/>
      <c r="D32" s="71"/>
      <c r="E32" s="72"/>
    </row>
    <row r="33" spans="2:5" ht="24" customHeight="1" thickBot="1" x14ac:dyDescent="0.3">
      <c r="B33" s="24" t="s">
        <v>47</v>
      </c>
      <c r="C33" s="24"/>
      <c r="D33" s="28"/>
      <c r="E33" s="68"/>
    </row>
  </sheetData>
  <sheetProtection algorithmName="SHA-512" hashValue="wrkwBe1ycrRLK7i4cCNKBM9+2hvnHqVXCHPU9k625TyRLzLIV1LP8cS8wMv68DHvtMivBgf+vCCg2D87daMRzw==" saltValue="O7N+LPnh1sZB5BYCVZ6+ug==" spinCount="100000" sheet="1" objects="1" scenarios="1"/>
  <mergeCells count="3">
    <mergeCell ref="A2:D2"/>
    <mergeCell ref="A1:E1"/>
    <mergeCell ref="E10:E11"/>
  </mergeCells>
  <printOptions horizontalCentered="1"/>
  <pageMargins left="0.7" right="0.7" top="0.75" bottom="0.75" header="0.3" footer="0.3"/>
  <pageSetup scale="86" orientation="landscape" r:id="rId1"/>
  <headerFooter>
    <oddFooter>&amp;C&amp;"Aptos,Regular"&amp;12&amp;A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3CDD305-0325-46A2-901E-C560D240F1A9}">
          <x14:formula1>
            <xm:f>Lookups!$E$9:$E$12</xm:f>
          </x14:formula1>
          <xm:sqref>D7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21C4E-477A-48A4-88F5-CC81859D9F3C}">
  <sheetPr codeName="Sheet6">
    <pageSetUpPr fitToPage="1"/>
  </sheetPr>
  <dimension ref="A1:E28"/>
  <sheetViews>
    <sheetView zoomScaleNormal="100" workbookViewId="0">
      <selection activeCell="E13" sqref="E13"/>
    </sheetView>
  </sheetViews>
  <sheetFormatPr defaultColWidth="8.85546875" defaultRowHeight="15" x14ac:dyDescent="0.25"/>
  <cols>
    <col min="1" max="1" width="3" style="2" customWidth="1"/>
    <col min="2" max="2" width="30" style="2" bestFit="1" customWidth="1"/>
    <col min="3" max="3" width="1.7109375" style="2" customWidth="1"/>
    <col min="4" max="4" width="10.42578125" style="2" bestFit="1" customWidth="1"/>
    <col min="5" max="5" width="88.7109375" style="2" customWidth="1"/>
    <col min="6" max="16384" width="8.85546875" style="2"/>
  </cols>
  <sheetData>
    <row r="1" spans="1:5" ht="15.75" thickBot="1" x14ac:dyDescent="0.3">
      <c r="A1" s="75"/>
      <c r="B1" s="75"/>
      <c r="C1" s="75"/>
      <c r="D1" s="75"/>
      <c r="E1" s="75"/>
    </row>
    <row r="2" spans="1:5" ht="16.5" thickBot="1" x14ac:dyDescent="0.3">
      <c r="A2" s="96" t="s">
        <v>58</v>
      </c>
      <c r="B2" s="97"/>
      <c r="C2" s="97"/>
      <c r="D2" s="97"/>
      <c r="E2" s="98"/>
    </row>
    <row r="3" spans="1:5" x14ac:dyDescent="0.25">
      <c r="A3" s="11"/>
      <c r="B3" s="12"/>
      <c r="C3" s="12"/>
      <c r="D3" s="12"/>
      <c r="E3" s="45"/>
    </row>
    <row r="4" spans="1:5" x14ac:dyDescent="0.25">
      <c r="A4" s="11"/>
      <c r="B4" s="12" t="s">
        <v>32</v>
      </c>
      <c r="C4" s="12"/>
      <c r="D4" s="3">
        <v>3</v>
      </c>
      <c r="E4" s="13" t="s">
        <v>33</v>
      </c>
    </row>
    <row r="5" spans="1:5" x14ac:dyDescent="0.25">
      <c r="A5" s="15"/>
      <c r="B5" s="16" t="s">
        <v>34</v>
      </c>
      <c r="C5" s="16"/>
      <c r="D5" s="4" t="s">
        <v>35</v>
      </c>
      <c r="E5" s="17" t="s">
        <v>36</v>
      </c>
    </row>
    <row r="6" spans="1:5" x14ac:dyDescent="0.25">
      <c r="A6" s="18"/>
      <c r="B6" s="19"/>
      <c r="C6" s="19"/>
      <c r="D6" s="19"/>
      <c r="E6" s="20"/>
    </row>
    <row r="7" spans="1:5" x14ac:dyDescent="0.25">
      <c r="A7" s="11"/>
      <c r="B7" s="12" t="s">
        <v>37</v>
      </c>
      <c r="C7" s="12"/>
      <c r="D7" s="22" cm="1">
        <f t="array" ref="D7">IF(OR(ISBLANK(D4),ISBLANK(D5)),"",SUM(IF((Lookups!$E$9:$E$12=D$4)*(Lookups!$F$8:$H$8=D$5), Lookups!$F$9:$H$12)))</f>
        <v>458.84</v>
      </c>
      <c r="E7" s="13"/>
    </row>
    <row r="8" spans="1:5" x14ac:dyDescent="0.25">
      <c r="A8" s="11"/>
      <c r="B8" s="12"/>
      <c r="C8" s="12"/>
      <c r="D8" s="12"/>
      <c r="E8" s="13"/>
    </row>
    <row r="9" spans="1:5" x14ac:dyDescent="0.25">
      <c r="A9" s="11"/>
      <c r="B9" s="12" t="s">
        <v>59</v>
      </c>
      <c r="C9" s="12"/>
      <c r="D9" s="3">
        <v>0</v>
      </c>
      <c r="E9" s="21"/>
    </row>
    <row r="10" spans="1:5" x14ac:dyDescent="0.25">
      <c r="A10" s="11"/>
      <c r="B10" s="12"/>
      <c r="C10" s="12"/>
      <c r="D10" s="12"/>
      <c r="E10" s="13"/>
    </row>
    <row r="11" spans="1:5" x14ac:dyDescent="0.25">
      <c r="A11" s="11"/>
      <c r="B11" s="12" t="s">
        <v>41</v>
      </c>
      <c r="C11" s="12"/>
      <c r="D11" s="22">
        <f>+D9*23.92</f>
        <v>0</v>
      </c>
      <c r="E11" s="13"/>
    </row>
    <row r="12" spans="1:5" x14ac:dyDescent="0.25">
      <c r="A12" s="11"/>
      <c r="B12" s="12"/>
      <c r="C12" s="12"/>
      <c r="D12" s="12"/>
      <c r="E12" s="13"/>
    </row>
    <row r="13" spans="1:5" x14ac:dyDescent="0.25">
      <c r="A13" s="18"/>
      <c r="B13" s="19"/>
      <c r="C13" s="19"/>
      <c r="D13" s="19"/>
      <c r="E13" s="20"/>
    </row>
    <row r="14" spans="1:5" x14ac:dyDescent="0.25">
      <c r="A14" s="11"/>
      <c r="B14" s="12" t="s">
        <v>42</v>
      </c>
      <c r="C14" s="12"/>
      <c r="D14" s="29">
        <f>D7+D11</f>
        <v>458.84</v>
      </c>
      <c r="E14" s="13"/>
    </row>
    <row r="15" spans="1:5" x14ac:dyDescent="0.25">
      <c r="A15" s="15"/>
      <c r="B15" s="16"/>
      <c r="C15" s="16"/>
      <c r="D15" s="16"/>
      <c r="E15" s="17"/>
    </row>
    <row r="16" spans="1:5" x14ac:dyDescent="0.25">
      <c r="A16" s="75"/>
      <c r="B16" s="75"/>
      <c r="C16" s="75"/>
      <c r="D16" s="75"/>
      <c r="E16" s="75"/>
    </row>
    <row r="17" spans="1:5" ht="28.15" customHeight="1" thickBot="1" x14ac:dyDescent="0.3">
      <c r="A17" s="75"/>
      <c r="B17" s="76" t="s">
        <v>43</v>
      </c>
      <c r="C17" s="75"/>
      <c r="D17" s="25"/>
      <c r="E17" s="25"/>
    </row>
    <row r="18" spans="1:5" ht="28.15" customHeight="1" thickTop="1" thickBot="1" x14ac:dyDescent="0.3">
      <c r="A18" s="75"/>
      <c r="B18" s="76" t="s">
        <v>44</v>
      </c>
      <c r="C18" s="75"/>
      <c r="D18" s="25"/>
      <c r="E18" s="25"/>
    </row>
    <row r="19" spans="1:5" ht="28.15" customHeight="1" thickTop="1" thickBot="1" x14ac:dyDescent="0.3">
      <c r="A19" s="75"/>
      <c r="B19" s="76" t="s">
        <v>45</v>
      </c>
      <c r="C19" s="75"/>
      <c r="D19" s="25"/>
      <c r="E19" s="25"/>
    </row>
    <row r="20" spans="1:5" ht="28.15" customHeight="1" thickTop="1" thickBot="1" x14ac:dyDescent="0.3">
      <c r="A20" s="75"/>
      <c r="B20" s="76"/>
      <c r="C20" s="75"/>
      <c r="D20" s="25"/>
      <c r="E20" s="25"/>
    </row>
    <row r="21" spans="1:5" ht="28.15" customHeight="1" thickTop="1" thickBot="1" x14ac:dyDescent="0.3">
      <c r="A21" s="75"/>
      <c r="B21" s="76" t="s">
        <v>70</v>
      </c>
      <c r="C21" s="75"/>
      <c r="D21" s="25"/>
      <c r="E21" s="25"/>
    </row>
    <row r="22" spans="1:5" ht="28.15" customHeight="1" thickTop="1" x14ac:dyDescent="0.25">
      <c r="A22" s="75"/>
      <c r="B22" s="75"/>
      <c r="C22" s="75"/>
      <c r="D22" s="27"/>
      <c r="E22" s="27"/>
    </row>
    <row r="23" spans="1:5" ht="28.15" customHeight="1" thickBot="1" x14ac:dyDescent="0.3">
      <c r="A23" s="75"/>
      <c r="B23" s="76" t="s">
        <v>46</v>
      </c>
      <c r="C23" s="75"/>
      <c r="D23" s="25"/>
      <c r="E23" s="25"/>
    </row>
    <row r="24" spans="1:5" ht="28.15" customHeight="1" thickTop="1" x14ac:dyDescent="0.25">
      <c r="A24" s="75"/>
      <c r="B24" s="75"/>
      <c r="C24" s="75"/>
      <c r="D24" s="27"/>
      <c r="E24" s="27"/>
    </row>
    <row r="25" spans="1:5" ht="28.15" customHeight="1" thickBot="1" x14ac:dyDescent="0.3">
      <c r="A25" s="75"/>
      <c r="B25" s="76" t="s">
        <v>47</v>
      </c>
      <c r="C25" s="75"/>
      <c r="D25" s="28"/>
      <c r="E25" s="28"/>
    </row>
    <row r="26" spans="1:5" ht="21.6" customHeight="1" x14ac:dyDescent="0.25"/>
    <row r="27" spans="1:5" ht="21.6" customHeight="1" x14ac:dyDescent="0.25"/>
    <row r="28" spans="1:5" ht="21.6" customHeight="1" x14ac:dyDescent="0.25"/>
  </sheetData>
  <sheetProtection algorithmName="SHA-512" hashValue="i13xQtIPLQTyJJdfmenCck6pQupVTu2rc7yBWDOHqQDmyip1AQ2L4Pp8wxqjxVvSc5HGIIJM2dQgXpw9gO9UCA==" saltValue="IEPQXRYk6rwU+TjSXg+Tag==" spinCount="100000" sheet="1" objects="1" scenarios="1"/>
  <mergeCells count="1">
    <mergeCell ref="A2:E2"/>
  </mergeCells>
  <pageMargins left="0.7" right="0.7" top="0.75" bottom="0.75" header="0.3" footer="0.3"/>
  <pageSetup scale="91" orientation="landscape" verticalDpi="0" r:id="rId1"/>
  <headerFooter>
    <oddFooter>&amp;C&amp;"Aptos,Regular"&amp;12&amp;A</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FB19035-4569-4336-98AA-ADC63CB23758}">
          <x14:formula1>
            <xm:f>Lookups!$F$8:$H$8</xm:f>
          </x14:formula1>
          <xm:sqref>D5</xm:sqref>
        </x14:dataValidation>
        <x14:dataValidation type="list" allowBlank="1" showInputMessage="1" showErrorMessage="1" xr:uid="{7F3DC3DD-966F-43EC-825A-97FE6E425AD2}">
          <x14:formula1>
            <xm:f>Lookups!$E$9:$E$12</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1D1DA-B2BE-4FC3-950C-35D84D4061C3}">
  <sheetPr codeName="Sheet7"/>
  <dimension ref="A1:H20"/>
  <sheetViews>
    <sheetView workbookViewId="0">
      <selection activeCell="B20" sqref="B20"/>
    </sheetView>
  </sheetViews>
  <sheetFormatPr defaultRowHeight="15" x14ac:dyDescent="0.25"/>
  <cols>
    <col min="2" max="2" width="18.42578125" bestFit="1" customWidth="1"/>
    <col min="5" max="5" width="5" customWidth="1"/>
    <col min="6" max="6" width="25.7109375" bestFit="1" customWidth="1"/>
    <col min="7" max="8" width="8.7109375" bestFit="1" customWidth="1"/>
  </cols>
  <sheetData>
    <row r="1" spans="1:8" x14ac:dyDescent="0.25">
      <c r="A1" s="12"/>
      <c r="B1" s="12" t="s">
        <v>60</v>
      </c>
      <c r="C1" s="12"/>
      <c r="D1" s="12"/>
      <c r="E1" s="12" t="s">
        <v>74</v>
      </c>
      <c r="F1" s="12"/>
      <c r="G1" s="12"/>
      <c r="H1" s="12"/>
    </row>
    <row r="2" spans="1:8" x14ac:dyDescent="0.25">
      <c r="A2" s="12" t="s">
        <v>35</v>
      </c>
      <c r="B2" s="12">
        <f>246.59/24</f>
        <v>10.274583333333334</v>
      </c>
      <c r="C2" s="77">
        <f>B2*24</f>
        <v>246.59000000000003</v>
      </c>
      <c r="D2" s="12"/>
      <c r="E2" s="12" t="s">
        <v>73</v>
      </c>
      <c r="F2" s="12"/>
      <c r="G2" s="12"/>
      <c r="H2" s="12"/>
    </row>
    <row r="3" spans="1:8" x14ac:dyDescent="0.25">
      <c r="A3" s="12" t="s">
        <v>61</v>
      </c>
      <c r="B3" s="12">
        <f>213.1/24</f>
        <v>8.8791666666666664</v>
      </c>
      <c r="C3" s="77">
        <f t="shared" ref="C3:C4" si="0">B3*24</f>
        <v>213.1</v>
      </c>
      <c r="D3" s="12"/>
      <c r="E3" s="12"/>
      <c r="F3" s="12"/>
      <c r="G3" s="12"/>
      <c r="H3" s="12"/>
    </row>
    <row r="4" spans="1:8" x14ac:dyDescent="0.25">
      <c r="A4" s="12" t="s">
        <v>62</v>
      </c>
      <c r="B4" s="12">
        <f>172.48/24</f>
        <v>7.1866666666666665</v>
      </c>
      <c r="C4" s="77">
        <f t="shared" si="0"/>
        <v>172.48</v>
      </c>
      <c r="D4" s="12"/>
      <c r="E4" s="12"/>
      <c r="F4" s="12"/>
      <c r="G4" s="12"/>
      <c r="H4" s="12"/>
    </row>
    <row r="5" spans="1:8" x14ac:dyDescent="0.25">
      <c r="A5" s="12"/>
      <c r="B5" s="12"/>
      <c r="C5" s="12"/>
      <c r="D5" s="12"/>
      <c r="E5" s="12"/>
      <c r="F5" s="12"/>
      <c r="G5" s="12"/>
      <c r="H5" s="12"/>
    </row>
    <row r="6" spans="1:8" x14ac:dyDescent="0.25">
      <c r="A6" s="12"/>
      <c r="B6" s="12"/>
      <c r="C6" s="12"/>
      <c r="D6" s="12"/>
      <c r="E6" s="12"/>
      <c r="F6" s="12"/>
      <c r="G6" s="12"/>
      <c r="H6" s="12"/>
    </row>
    <row r="7" spans="1:8" x14ac:dyDescent="0.25">
      <c r="A7" s="12"/>
      <c r="B7" s="31"/>
      <c r="C7" s="12"/>
      <c r="D7" s="12"/>
      <c r="E7" s="12" t="s">
        <v>73</v>
      </c>
      <c r="F7" s="12" t="s">
        <v>71</v>
      </c>
      <c r="G7" s="12"/>
      <c r="H7" s="12"/>
    </row>
    <row r="8" spans="1:8" x14ac:dyDescent="0.25">
      <c r="A8" s="12"/>
      <c r="B8" s="12"/>
      <c r="C8" s="30"/>
      <c r="D8" s="12"/>
      <c r="E8" s="12"/>
      <c r="F8" s="12" t="s">
        <v>62</v>
      </c>
      <c r="G8" s="12" t="s">
        <v>61</v>
      </c>
      <c r="H8" s="12" t="s">
        <v>35</v>
      </c>
    </row>
    <row r="9" spans="1:8" x14ac:dyDescent="0.25">
      <c r="A9" s="12"/>
      <c r="B9" s="12"/>
      <c r="C9" s="30"/>
      <c r="D9" s="12"/>
      <c r="E9" s="12">
        <v>3</v>
      </c>
      <c r="F9" s="77">
        <f>285.19</f>
        <v>285.19</v>
      </c>
      <c r="G9" s="77">
        <f>382.8</f>
        <v>382.8</v>
      </c>
      <c r="H9" s="77">
        <f>458.84</f>
        <v>458.84</v>
      </c>
    </row>
    <row r="10" spans="1:8" x14ac:dyDescent="0.25">
      <c r="A10" s="12"/>
      <c r="B10" s="12"/>
      <c r="C10" s="30"/>
      <c r="D10" s="12"/>
      <c r="E10" s="12">
        <v>4</v>
      </c>
      <c r="F10" s="77">
        <f>267.57</f>
        <v>267.57</v>
      </c>
      <c r="G10" s="77">
        <f>340.77</f>
        <v>340.77</v>
      </c>
      <c r="H10" s="77">
        <f>397.71</f>
        <v>397.71</v>
      </c>
    </row>
    <row r="11" spans="1:8" x14ac:dyDescent="0.25">
      <c r="A11" s="12"/>
      <c r="B11" s="12"/>
      <c r="C11" s="12"/>
      <c r="D11" s="12"/>
      <c r="E11" s="12">
        <v>5</v>
      </c>
      <c r="F11" s="77">
        <f>266.67</f>
        <v>266.67</v>
      </c>
      <c r="G11" s="77">
        <f>312.22</f>
        <v>312.22000000000003</v>
      </c>
      <c r="H11" s="77">
        <f>344.75</f>
        <v>344.75</v>
      </c>
    </row>
    <row r="12" spans="1:8" x14ac:dyDescent="0.25">
      <c r="A12" s="12"/>
      <c r="B12" s="12"/>
      <c r="C12" s="12"/>
      <c r="D12" s="12"/>
      <c r="E12" s="12">
        <v>6</v>
      </c>
      <c r="F12" s="77">
        <f>255.12</f>
        <v>255.12</v>
      </c>
      <c r="G12" s="77">
        <f>282.37</f>
        <v>282.37</v>
      </c>
      <c r="H12" s="77">
        <f>317.76</f>
        <v>317.76</v>
      </c>
    </row>
    <row r="13" spans="1:8" x14ac:dyDescent="0.25">
      <c r="A13" s="12"/>
      <c r="B13" s="12"/>
      <c r="C13" s="12"/>
      <c r="D13" s="12"/>
      <c r="E13" s="12"/>
      <c r="F13" s="12"/>
      <c r="G13" s="12"/>
      <c r="H13" s="12"/>
    </row>
    <row r="14" spans="1:8" x14ac:dyDescent="0.25">
      <c r="A14" s="12"/>
      <c r="B14" s="12"/>
      <c r="C14" s="12"/>
      <c r="D14" s="12"/>
      <c r="E14" s="12" t="s">
        <v>74</v>
      </c>
      <c r="F14" s="12" t="s">
        <v>72</v>
      </c>
      <c r="G14" s="12"/>
      <c r="H14" s="12"/>
    </row>
    <row r="15" spans="1:8" x14ac:dyDescent="0.25">
      <c r="A15" s="12"/>
      <c r="B15" s="12"/>
      <c r="C15" s="12"/>
      <c r="D15" s="12"/>
      <c r="E15" s="12"/>
      <c r="F15" s="12" t="s">
        <v>62</v>
      </c>
      <c r="G15" s="12" t="s">
        <v>61</v>
      </c>
      <c r="H15" s="12" t="s">
        <v>35</v>
      </c>
    </row>
    <row r="16" spans="1:8" x14ac:dyDescent="0.25">
      <c r="A16" s="12" t="s">
        <v>67</v>
      </c>
      <c r="B16" s="12" t="s">
        <v>35</v>
      </c>
      <c r="C16" s="12"/>
      <c r="D16" s="12"/>
      <c r="E16" s="12">
        <v>3</v>
      </c>
      <c r="F16" s="77">
        <f>242.76</f>
        <v>242.76</v>
      </c>
      <c r="G16" s="77">
        <f>340.37</f>
        <v>340.37</v>
      </c>
      <c r="H16" s="77">
        <f>416.41</f>
        <v>416.41</v>
      </c>
    </row>
    <row r="17" spans="1:8" x14ac:dyDescent="0.25">
      <c r="A17" s="12">
        <v>3</v>
      </c>
      <c r="B17" s="77">
        <v>458.84</v>
      </c>
      <c r="C17" s="12"/>
      <c r="D17" s="12"/>
      <c r="E17" s="12">
        <v>4</v>
      </c>
      <c r="F17" s="77">
        <f>235.85</f>
        <v>235.85</v>
      </c>
      <c r="G17" s="77">
        <f>309.06</f>
        <v>309.06</v>
      </c>
      <c r="H17" s="77">
        <f>365.99</f>
        <v>365.99</v>
      </c>
    </row>
    <row r="18" spans="1:8" x14ac:dyDescent="0.25">
      <c r="A18" s="12">
        <v>4</v>
      </c>
      <c r="B18" s="77">
        <v>397.71</v>
      </c>
      <c r="C18" s="12"/>
      <c r="D18" s="12"/>
      <c r="E18" s="12">
        <v>5</v>
      </c>
      <c r="F18" s="77">
        <f>241.3</f>
        <v>241.3</v>
      </c>
      <c r="G18" s="77">
        <f>286.84</f>
        <v>286.83999999999997</v>
      </c>
      <c r="H18" s="77">
        <f>319.38</f>
        <v>319.38</v>
      </c>
    </row>
    <row r="19" spans="1:8" x14ac:dyDescent="0.25">
      <c r="A19" s="12">
        <v>5</v>
      </c>
      <c r="B19" s="77">
        <v>344.75</v>
      </c>
      <c r="C19" s="12"/>
      <c r="D19" s="12"/>
      <c r="E19" s="12">
        <v>6</v>
      </c>
      <c r="F19" s="77">
        <f>234.11</f>
        <v>234.11</v>
      </c>
      <c r="G19" s="77">
        <f>261.36</f>
        <v>261.36</v>
      </c>
      <c r="H19" s="77">
        <f>296.33</f>
        <v>296.33</v>
      </c>
    </row>
    <row r="20" spans="1:8" x14ac:dyDescent="0.25">
      <c r="A20" s="12">
        <v>6</v>
      </c>
      <c r="B20" s="77">
        <v>317.76</v>
      </c>
      <c r="C20" s="12"/>
      <c r="D20" s="12"/>
      <c r="E20" s="12"/>
      <c r="F20" s="12"/>
      <c r="G20" s="12"/>
      <c r="H20" s="12"/>
    </row>
  </sheetData>
  <sheetProtection algorithmName="SHA-512" hashValue="2NDp3fVaTc9BV7J2jCobxE/rzQIvBAoPm9ODuSEw5Dx4UArod8tn2ntyYBcpBv4+2qzIgb4srJpa+Ls7Wkf95w==" saltValue="Q8TWDDaSdAhxl2xdzF+58A==" spinCount="100000" sheet="1" objects="1" scenarios="1"/>
  <pageMargins left="0.7" right="0.7" top="0.75" bottom="0.75" header="0.3" footer="0.3"/>
  <pageSetup orientation="portrait" verticalDpi="0" r:id="rId1"/>
</worksheet>
</file>

<file path=docMetadata/LabelInfo.xml><?xml version="1.0" encoding="utf-8"?>
<clbl:labelList xmlns:clbl="http://schemas.microsoft.com/office/2020/mipLabelMetadata">
  <clbl:label id="{bedd5d6f-bcfc-46d4-918d-7fb210e57897}" enabled="0" method="" siteId="{bedd5d6f-bcfc-46d4-918d-7fb210e5789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Notes</vt:lpstr>
      <vt:lpstr>Base Rates</vt:lpstr>
      <vt:lpstr>Base Rate Form</vt:lpstr>
      <vt:lpstr>Residential Staffing Form</vt:lpstr>
      <vt:lpstr>Residential Behavioral Form</vt:lpstr>
      <vt:lpstr>Residential Medical Form</vt:lpstr>
      <vt:lpstr>Lookups</vt:lpstr>
      <vt:lpstr>Notes!Print_Area</vt:lpstr>
      <vt:lpstr>'Residential Behavioral Form'!Print_Area</vt:lpstr>
      <vt:lpstr>'Residential Behavioral Form'!Print_Titles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Jacob Harrison</dc:creator>
  <cp:keywords/>
  <dc:description/>
  <cp:lastModifiedBy>Harrison, Jacob</cp:lastModifiedBy>
  <cp:revision/>
  <cp:lastPrinted>2025-10-16T17:22:54Z</cp:lastPrinted>
  <dcterms:created xsi:type="dcterms:W3CDTF">2023-08-31T14:04:55Z</dcterms:created>
  <dcterms:modified xsi:type="dcterms:W3CDTF">2025-10-17T12:15:30Z</dcterms:modified>
  <cp:category/>
  <cp:contentStatus/>
</cp:coreProperties>
</file>